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76b30b9d5fd49d/Documents/Devonport Orions CC/Stats/"/>
    </mc:Choice>
  </mc:AlternateContent>
  <xr:revisionPtr revIDLastSave="279" documentId="8_{81568371-A2D8-4E9A-95AA-0ED7AF185F1B}" xr6:coauthVersionLast="47" xr6:coauthVersionMax="47" xr10:uidLastSave="{89665F25-CA25-4032-B559-5105B28C6C18}"/>
  <bookViews>
    <workbookView xWindow="-108" yWindow="-108" windowWidth="23256" windowHeight="12456" xr2:uid="{00000000-000D-0000-FFFF-FFFF00000000}"/>
  </bookViews>
  <sheets>
    <sheet name="Sheet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C35" i="1"/>
  <c r="B35" i="1"/>
  <c r="H407" i="1"/>
  <c r="C407" i="1"/>
  <c r="B407" i="1"/>
  <c r="C231" i="1"/>
  <c r="B231" i="1"/>
  <c r="D231" i="1" s="1"/>
  <c r="F216" i="1"/>
  <c r="E216" i="1"/>
  <c r="C216" i="1"/>
  <c r="B216" i="1"/>
  <c r="D216" i="1" s="1"/>
  <c r="C184" i="1"/>
  <c r="B184" i="1"/>
  <c r="D184" i="1" s="1"/>
  <c r="C217" i="1"/>
  <c r="B217" i="1"/>
  <c r="D217" i="1" s="1"/>
  <c r="H318" i="1"/>
  <c r="C318" i="1"/>
  <c r="B318" i="1"/>
  <c r="H111" i="1"/>
  <c r="C111" i="1"/>
  <c r="B111" i="1"/>
  <c r="I222" i="1"/>
  <c r="H222" i="1"/>
  <c r="C222" i="1"/>
  <c r="B222" i="1"/>
  <c r="I125" i="1"/>
  <c r="H125" i="1"/>
  <c r="C125" i="1"/>
  <c r="B125" i="1"/>
  <c r="C386" i="1"/>
  <c r="B386" i="1"/>
  <c r="C522" i="1"/>
  <c r="B522" i="1"/>
  <c r="D522" i="1" s="1"/>
  <c r="F92" i="1"/>
  <c r="E92" i="1"/>
  <c r="F232" i="1"/>
  <c r="E232" i="1"/>
  <c r="C232" i="1"/>
  <c r="B232" i="1"/>
  <c r="H155" i="1"/>
  <c r="C155" i="1"/>
  <c r="B155" i="1"/>
  <c r="H192" i="1"/>
  <c r="C192" i="1"/>
  <c r="B192" i="1"/>
  <c r="F84" i="1"/>
  <c r="E84" i="1"/>
  <c r="B84" i="1"/>
  <c r="F2" i="1"/>
  <c r="E2" i="1"/>
  <c r="C2" i="1"/>
  <c r="B2" i="1"/>
  <c r="F113" i="1"/>
  <c r="E113" i="1"/>
  <c r="C113" i="1"/>
  <c r="B113" i="1"/>
  <c r="D113" i="1" s="1"/>
  <c r="H182" i="1"/>
  <c r="F182" i="1"/>
  <c r="E182" i="1"/>
  <c r="C182" i="1"/>
  <c r="B182" i="1"/>
  <c r="F513" i="1"/>
  <c r="E513" i="1"/>
  <c r="C513" i="1"/>
  <c r="B513" i="1"/>
  <c r="D513" i="1" s="1"/>
  <c r="F110" i="1"/>
  <c r="E110" i="1"/>
  <c r="C110" i="1"/>
  <c r="B110" i="1"/>
  <c r="F4" i="1"/>
  <c r="E4" i="1"/>
  <c r="C4" i="1"/>
  <c r="H152" i="1"/>
  <c r="F152" i="1"/>
  <c r="E152" i="1"/>
  <c r="C152" i="1"/>
  <c r="B152" i="1"/>
  <c r="F65" i="1"/>
  <c r="E65" i="1"/>
  <c r="C65" i="1"/>
  <c r="B65" i="1"/>
  <c r="F341" i="1"/>
  <c r="E341" i="1"/>
  <c r="C341" i="1"/>
  <c r="B341" i="1"/>
  <c r="H169" i="1"/>
  <c r="F169" i="1"/>
  <c r="E169" i="1"/>
  <c r="C169" i="1"/>
  <c r="B169" i="1"/>
  <c r="D169" i="1" s="1"/>
  <c r="H170" i="1"/>
  <c r="F170" i="1"/>
  <c r="E170" i="1"/>
  <c r="G170" i="1" s="1"/>
  <c r="C170" i="1"/>
  <c r="B170" i="1"/>
  <c r="D170" i="1" s="1"/>
  <c r="H159" i="1"/>
  <c r="F159" i="1"/>
  <c r="E159" i="1"/>
  <c r="C159" i="1"/>
  <c r="B159" i="1"/>
  <c r="H75" i="1"/>
  <c r="F75" i="1"/>
  <c r="E75" i="1"/>
  <c r="C75" i="1"/>
  <c r="B75" i="1"/>
  <c r="H498" i="1"/>
  <c r="F498" i="1"/>
  <c r="E498" i="1"/>
  <c r="C498" i="1"/>
  <c r="B498" i="1"/>
  <c r="H279" i="1"/>
  <c r="F279" i="1"/>
  <c r="E279" i="1"/>
  <c r="C279" i="1"/>
  <c r="B279" i="1"/>
  <c r="H461" i="1"/>
  <c r="F461" i="1"/>
  <c r="E461" i="1"/>
  <c r="C461" i="1"/>
  <c r="B461" i="1"/>
  <c r="H270" i="1"/>
  <c r="C270" i="1"/>
  <c r="B270" i="1"/>
  <c r="H492" i="1"/>
  <c r="F492" i="1"/>
  <c r="E492" i="1"/>
  <c r="G492" i="1" s="1"/>
  <c r="C492" i="1"/>
  <c r="B492" i="1"/>
  <c r="B195" i="1"/>
  <c r="B448" i="1"/>
  <c r="H471" i="1"/>
  <c r="F471" i="1"/>
  <c r="E471" i="1"/>
  <c r="C471" i="1"/>
  <c r="B471" i="1"/>
  <c r="C432" i="1"/>
  <c r="B432" i="1"/>
  <c r="C92" i="1"/>
  <c r="B92" i="1"/>
  <c r="I74" i="1"/>
  <c r="H74" i="1"/>
  <c r="C74" i="1"/>
  <c r="B74" i="1"/>
  <c r="H22" i="1"/>
  <c r="C22" i="1"/>
  <c r="B22" i="1"/>
  <c r="G233" i="1"/>
  <c r="F233" i="1"/>
  <c r="C233" i="1"/>
  <c r="B233" i="1"/>
  <c r="C13" i="1"/>
  <c r="B13" i="1"/>
  <c r="H232" i="1"/>
  <c r="D379" i="1"/>
  <c r="H379" i="1"/>
  <c r="F379" i="1"/>
  <c r="E379" i="1"/>
  <c r="C379" i="1"/>
  <c r="F125" i="1"/>
  <c r="E125" i="1"/>
  <c r="H88" i="1"/>
  <c r="F88" i="1"/>
  <c r="E88" i="1"/>
  <c r="C88" i="1"/>
  <c r="B88" i="1"/>
  <c r="H163" i="1"/>
  <c r="F163" i="1"/>
  <c r="E163" i="1"/>
  <c r="C163" i="1"/>
  <c r="B163" i="1"/>
  <c r="F5" i="1"/>
  <c r="E5" i="1"/>
  <c r="C5" i="1"/>
  <c r="B5" i="1"/>
  <c r="H110" i="1"/>
  <c r="F111" i="1"/>
  <c r="E111" i="1"/>
  <c r="H386" i="1"/>
  <c r="F386" i="1"/>
  <c r="E386" i="1"/>
  <c r="F155" i="1"/>
  <c r="E155" i="1"/>
  <c r="H460" i="1"/>
  <c r="F460" i="1"/>
  <c r="E460" i="1"/>
  <c r="F162" i="1"/>
  <c r="E162" i="1"/>
  <c r="C162" i="1"/>
  <c r="B162" i="1"/>
  <c r="H341" i="1"/>
  <c r="H41" i="1"/>
  <c r="I432" i="1"/>
  <c r="H432" i="1"/>
  <c r="H181" i="1"/>
  <c r="I497" i="1"/>
  <c r="H497" i="1"/>
  <c r="H60" i="1"/>
  <c r="H28" i="1"/>
  <c r="H122" i="1"/>
  <c r="H453" i="1"/>
  <c r="H2" i="1"/>
  <c r="H108" i="1"/>
  <c r="F28" i="1"/>
  <c r="F365" i="1"/>
  <c r="E365" i="1"/>
  <c r="F41" i="1"/>
  <c r="E41" i="1"/>
  <c r="F318" i="1"/>
  <c r="E318" i="1"/>
  <c r="F181" i="1"/>
  <c r="E181" i="1"/>
  <c r="F248" i="1"/>
  <c r="E248" i="1"/>
  <c r="F447" i="1"/>
  <c r="E447" i="1"/>
  <c r="F346" i="1"/>
  <c r="E346" i="1"/>
  <c r="F60" i="1"/>
  <c r="E60" i="1"/>
  <c r="F449" i="1"/>
  <c r="E449" i="1"/>
  <c r="F122" i="1"/>
  <c r="E122" i="1"/>
  <c r="F108" i="1"/>
  <c r="E108" i="1"/>
  <c r="F453" i="1"/>
  <c r="E453" i="1"/>
  <c r="C15" i="1"/>
  <c r="B15" i="1"/>
  <c r="C263" i="1"/>
  <c r="B263" i="1"/>
  <c r="C365" i="1"/>
  <c r="B365" i="1"/>
  <c r="C447" i="1"/>
  <c r="B447" i="1"/>
  <c r="C181" i="1"/>
  <c r="B181" i="1"/>
  <c r="C41" i="1"/>
  <c r="B41" i="1"/>
  <c r="C60" i="1"/>
  <c r="B60" i="1"/>
  <c r="C319" i="1"/>
  <c r="B319" i="1"/>
  <c r="C346" i="1"/>
  <c r="C453" i="1"/>
  <c r="B453" i="1"/>
  <c r="C122" i="1"/>
  <c r="B122" i="1"/>
  <c r="C28" i="1"/>
  <c r="B28" i="1"/>
  <c r="C449" i="1"/>
  <c r="B449" i="1"/>
  <c r="C497" i="1"/>
  <c r="B497" i="1"/>
  <c r="C108" i="1"/>
  <c r="B108" i="1"/>
  <c r="H519" i="1"/>
  <c r="H342" i="1"/>
  <c r="H343" i="1"/>
  <c r="H365" i="1"/>
  <c r="F343" i="1"/>
  <c r="E343" i="1"/>
  <c r="F494" i="1"/>
  <c r="E494" i="1"/>
  <c r="C68" i="1"/>
  <c r="B68" i="1"/>
  <c r="C342" i="1"/>
  <c r="B342" i="1"/>
  <c r="C494" i="1"/>
  <c r="B494" i="1"/>
  <c r="D494" i="1" s="1"/>
  <c r="C343" i="1"/>
  <c r="B343" i="1"/>
  <c r="C519" i="1"/>
  <c r="B519" i="1"/>
  <c r="H202" i="1"/>
  <c r="H66" i="1"/>
  <c r="H357" i="1"/>
  <c r="F63" i="1"/>
  <c r="E63" i="1"/>
  <c r="G63" i="1" s="1"/>
  <c r="F497" i="1"/>
  <c r="E497" i="1"/>
  <c r="G497" i="1" s="1"/>
  <c r="F66" i="1"/>
  <c r="E66" i="1"/>
  <c r="F68" i="1"/>
  <c r="E68" i="1"/>
  <c r="F102" i="1"/>
  <c r="E102" i="1"/>
  <c r="F439" i="1"/>
  <c r="E439" i="1"/>
  <c r="F342" i="1"/>
  <c r="E342" i="1"/>
  <c r="F121" i="1"/>
  <c r="E121" i="1"/>
  <c r="F247" i="1"/>
  <c r="E247" i="1"/>
  <c r="F202" i="1"/>
  <c r="E202" i="1"/>
  <c r="F357" i="1"/>
  <c r="E357" i="1"/>
  <c r="C102" i="1"/>
  <c r="B102" i="1"/>
  <c r="C202" i="1"/>
  <c r="B202" i="1"/>
  <c r="D246" i="1"/>
  <c r="C247" i="1"/>
  <c r="B247" i="1"/>
  <c r="C121" i="1"/>
  <c r="B121" i="1"/>
  <c r="C66" i="1"/>
  <c r="B66" i="1"/>
  <c r="C357" i="1"/>
  <c r="B357" i="1"/>
  <c r="H68" i="1"/>
  <c r="H323" i="1"/>
  <c r="H258" i="1"/>
  <c r="H474" i="1"/>
  <c r="H6" i="1"/>
  <c r="H7" i="1"/>
  <c r="H439" i="1"/>
  <c r="H263" i="1"/>
  <c r="F431" i="1"/>
  <c r="E431" i="1"/>
  <c r="F7" i="1"/>
  <c r="E7" i="1"/>
  <c r="E28" i="1"/>
  <c r="F263" i="1"/>
  <c r="E263" i="1"/>
  <c r="C7" i="1"/>
  <c r="B7" i="1"/>
  <c r="C308" i="1"/>
  <c r="B308" i="1"/>
  <c r="C323" i="1"/>
  <c r="B323" i="1"/>
  <c r="C439" i="1"/>
  <c r="B439" i="1"/>
  <c r="C6" i="1"/>
  <c r="B6" i="1"/>
  <c r="H431" i="1"/>
  <c r="H397" i="1"/>
  <c r="H366" i="1"/>
  <c r="I343" i="1"/>
  <c r="H308" i="1"/>
  <c r="H118" i="1"/>
  <c r="H93" i="1"/>
  <c r="F6" i="1"/>
  <c r="E366" i="1"/>
  <c r="F366" i="1"/>
  <c r="F323" i="1"/>
  <c r="E323" i="1"/>
  <c r="F474" i="1"/>
  <c r="E474" i="1"/>
  <c r="F397" i="1"/>
  <c r="E397" i="1"/>
  <c r="F93" i="1"/>
  <c r="E93" i="1"/>
  <c r="C366" i="1"/>
  <c r="B366" i="1"/>
  <c r="C93" i="1"/>
  <c r="B93" i="1"/>
  <c r="C397" i="1"/>
  <c r="B397" i="1"/>
  <c r="C118" i="1"/>
  <c r="B118" i="1"/>
  <c r="G6" i="1"/>
  <c r="C474" i="1"/>
  <c r="D474" i="1" s="1"/>
  <c r="F308" i="1"/>
  <c r="E308" i="1"/>
  <c r="H43" i="1"/>
  <c r="F43" i="1"/>
  <c r="E43" i="1"/>
  <c r="C43" i="1"/>
  <c r="B43" i="1"/>
  <c r="H160" i="1"/>
  <c r="E160" i="1"/>
  <c r="G160" i="1" s="1"/>
  <c r="C160" i="1"/>
  <c r="B160" i="1"/>
  <c r="H240" i="1"/>
  <c r="H523" i="1"/>
  <c r="F523" i="1"/>
  <c r="E523" i="1"/>
  <c r="C523" i="1"/>
  <c r="D523" i="1" s="1"/>
  <c r="F266" i="1"/>
  <c r="E266" i="1"/>
  <c r="C266" i="1"/>
  <c r="B266" i="1"/>
  <c r="H333" i="1"/>
  <c r="F333" i="1"/>
  <c r="E333" i="1"/>
  <c r="C333" i="1"/>
  <c r="B333" i="1"/>
  <c r="G173" i="1"/>
  <c r="D173" i="1"/>
  <c r="F418" i="1"/>
  <c r="E418" i="1"/>
  <c r="C418" i="1"/>
  <c r="D418" i="1" s="1"/>
  <c r="H137" i="1"/>
  <c r="F137" i="1"/>
  <c r="E137" i="1"/>
  <c r="C137" i="1"/>
  <c r="B137" i="1"/>
  <c r="D242" i="1"/>
  <c r="F452" i="1"/>
  <c r="E452" i="1"/>
  <c r="C375" i="1"/>
  <c r="B375" i="1"/>
  <c r="G297" i="1"/>
  <c r="F354" i="1"/>
  <c r="F416" i="1"/>
  <c r="G416" i="1" s="1"/>
  <c r="F519" i="1"/>
  <c r="G519" i="1" s="1"/>
  <c r="G314" i="1"/>
  <c r="C354" i="1"/>
  <c r="D354" i="1" s="1"/>
  <c r="C356" i="1"/>
  <c r="B356" i="1"/>
  <c r="D297" i="1"/>
  <c r="D314" i="1"/>
  <c r="C103" i="1"/>
  <c r="D103" i="1" s="1"/>
  <c r="G392" i="1"/>
  <c r="G261" i="1"/>
  <c r="F394" i="1"/>
  <c r="E394" i="1"/>
  <c r="F517" i="1"/>
  <c r="E517" i="1"/>
  <c r="G337" i="1"/>
  <c r="E354" i="1"/>
  <c r="C479" i="1"/>
  <c r="B479" i="1"/>
  <c r="D261" i="1"/>
  <c r="C517" i="1"/>
  <c r="D517" i="1" s="1"/>
  <c r="D392" i="1"/>
  <c r="D337" i="1"/>
  <c r="F183" i="1"/>
  <c r="E183" i="1"/>
  <c r="G198" i="1"/>
  <c r="G207" i="1"/>
  <c r="F86" i="1"/>
  <c r="G86" i="1" s="1"/>
  <c r="F376" i="1"/>
  <c r="E376" i="1"/>
  <c r="F260" i="1"/>
  <c r="E260" i="1"/>
  <c r="D416" i="1"/>
  <c r="F156" i="1"/>
  <c r="E156" i="1"/>
  <c r="E123" i="1"/>
  <c r="G123" i="1" s="1"/>
  <c r="C207" i="1"/>
  <c r="D207" i="1" s="1"/>
  <c r="C260" i="1"/>
  <c r="D260" i="1" s="1"/>
  <c r="C183" i="1"/>
  <c r="B183" i="1"/>
  <c r="D198" i="1"/>
  <c r="C198" i="1"/>
  <c r="C380" i="1"/>
  <c r="D380" i="1" s="1"/>
  <c r="C129" i="1"/>
  <c r="D129" i="1" s="1"/>
  <c r="C376" i="1"/>
  <c r="B376" i="1"/>
  <c r="C424" i="1"/>
  <c r="D424" i="1" s="1"/>
  <c r="C305" i="1"/>
  <c r="B305" i="1"/>
  <c r="C123" i="1"/>
  <c r="D123" i="1" s="1"/>
  <c r="C71" i="1"/>
  <c r="D71" i="1" s="1"/>
  <c r="C381" i="1"/>
  <c r="D381" i="1" s="1"/>
  <c r="D156" i="1"/>
  <c r="G393" i="1"/>
  <c r="D393" i="1"/>
  <c r="G46" i="1"/>
  <c r="D46" i="1"/>
  <c r="G419" i="1"/>
  <c r="D214" i="1"/>
  <c r="D213" i="1"/>
  <c r="D301" i="1"/>
  <c r="D388" i="1"/>
  <c r="G118" i="1"/>
  <c r="G388" i="1"/>
  <c r="G214" i="1"/>
  <c r="G301" i="1"/>
  <c r="G213" i="1"/>
  <c r="G157" i="1"/>
  <c r="G133" i="1"/>
  <c r="G306" i="1"/>
  <c r="G348" i="1"/>
  <c r="G256" i="1"/>
  <c r="G499" i="1"/>
  <c r="G409" i="1"/>
  <c r="G191" i="1"/>
  <c r="G466" i="1"/>
  <c r="G285" i="1"/>
  <c r="G27" i="1"/>
  <c r="G270" i="1"/>
  <c r="G329" i="1"/>
  <c r="G435" i="1"/>
  <c r="G414" i="1"/>
  <c r="G205" i="1"/>
  <c r="G500" i="1"/>
  <c r="G459" i="1"/>
  <c r="G99" i="1"/>
  <c r="G51" i="1"/>
  <c r="G373" i="1"/>
  <c r="G117" i="1"/>
  <c r="G131" i="1"/>
  <c r="G50" i="1"/>
  <c r="G3" i="1"/>
  <c r="G428" i="1"/>
  <c r="G132" i="1"/>
  <c r="G328" i="1"/>
  <c r="G442" i="1"/>
  <c r="G417" i="1"/>
  <c r="G64" i="1"/>
  <c r="G251" i="1"/>
  <c r="G16" i="1"/>
  <c r="G80" i="1"/>
  <c r="G485" i="1"/>
  <c r="G264" i="1"/>
  <c r="G268" i="1"/>
  <c r="G291" i="1"/>
  <c r="G238" i="1"/>
  <c r="G96" i="1"/>
  <c r="G312" i="1"/>
  <c r="G175" i="1"/>
  <c r="G412" i="1"/>
  <c r="G402" i="1"/>
  <c r="G506" i="1"/>
  <c r="G458" i="1"/>
  <c r="G422" i="1"/>
  <c r="G79" i="1"/>
  <c r="G415" i="1"/>
  <c r="G246" i="1"/>
  <c r="G239" i="1"/>
  <c r="G483" i="1"/>
  <c r="G515" i="1"/>
  <c r="G488" i="1"/>
  <c r="G278" i="1"/>
  <c r="G359" i="1"/>
  <c r="G262" i="1"/>
  <c r="G12" i="1"/>
  <c r="G326" i="1"/>
  <c r="G503" i="1"/>
  <c r="G389" i="1"/>
  <c r="G44" i="1"/>
  <c r="G361" i="1"/>
  <c r="G210" i="1"/>
  <c r="G287" i="1"/>
  <c r="G139" i="1"/>
  <c r="G164" i="1"/>
  <c r="G420" i="1"/>
  <c r="G199" i="1"/>
  <c r="G267" i="1"/>
  <c r="G317" i="1"/>
  <c r="G398" i="1"/>
  <c r="G481" i="1"/>
  <c r="G277" i="1"/>
  <c r="G292" i="1"/>
  <c r="G345" i="1"/>
  <c r="G178" i="1"/>
  <c r="G470" i="1"/>
  <c r="G167" i="1"/>
  <c r="G437" i="1"/>
  <c r="G204" i="1"/>
  <c r="G369" i="1"/>
  <c r="G70" i="1"/>
  <c r="G424" i="1"/>
  <c r="G72" i="1"/>
  <c r="G174" i="1"/>
  <c r="G54" i="1"/>
  <c r="G171" i="1"/>
  <c r="G19" i="1"/>
  <c r="G381" i="1"/>
  <c r="G524" i="1"/>
  <c r="G374" i="1"/>
  <c r="G282" i="1"/>
  <c r="G364" i="1"/>
  <c r="G411" i="1"/>
  <c r="G153" i="1"/>
  <c r="G29" i="1"/>
  <c r="G225" i="1"/>
  <c r="G180" i="1"/>
  <c r="G395" i="1"/>
  <c r="G465" i="1"/>
  <c r="G142" i="1"/>
  <c r="G189" i="1"/>
  <c r="G130" i="1"/>
  <c r="G396" i="1"/>
  <c r="G294" i="1"/>
  <c r="G512" i="1"/>
  <c r="G391" i="1"/>
  <c r="G136" i="1"/>
  <c r="G290" i="1"/>
  <c r="G95" i="1"/>
  <c r="G148" i="1"/>
  <c r="G39" i="1"/>
  <c r="G462" i="1"/>
  <c r="G146" i="1"/>
  <c r="G307" i="1"/>
  <c r="G487" i="1"/>
  <c r="G302" i="1"/>
  <c r="G126" i="1"/>
  <c r="G293" i="1"/>
  <c r="G143" i="1"/>
  <c r="G165" i="1"/>
  <c r="G339" i="1"/>
  <c r="G107" i="1"/>
  <c r="G134" i="1"/>
  <c r="G150" i="1"/>
  <c r="G109" i="1"/>
  <c r="G227" i="1"/>
  <c r="G334" i="1"/>
  <c r="G363" i="1"/>
  <c r="G145" i="1"/>
  <c r="G40" i="1"/>
  <c r="G491" i="1"/>
  <c r="G446" i="1"/>
  <c r="G220" i="1"/>
  <c r="G484" i="1"/>
  <c r="G430" i="1"/>
  <c r="G325" i="1"/>
  <c r="G516" i="1"/>
  <c r="G274" i="1"/>
  <c r="G185" i="1"/>
  <c r="G196" i="1"/>
  <c r="G421" i="1"/>
  <c r="G362" i="1"/>
  <c r="G463" i="1"/>
  <c r="G464" i="1"/>
  <c r="G203" i="1"/>
  <c r="G98" i="1"/>
  <c r="G399" i="1"/>
  <c r="G144" i="1"/>
  <c r="G20" i="1"/>
  <c r="G206" i="1"/>
  <c r="G48" i="1"/>
  <c r="G166" i="1"/>
  <c r="G52" i="1"/>
  <c r="G444" i="1"/>
  <c r="G141" i="1"/>
  <c r="G469" i="1"/>
  <c r="G403" i="1"/>
  <c r="G249" i="1"/>
  <c r="G42" i="1"/>
  <c r="G62" i="1"/>
  <c r="G235" i="1"/>
  <c r="G478" i="1"/>
  <c r="G127" i="1"/>
  <c r="G254" i="1"/>
  <c r="G338" i="1"/>
  <c r="G234" i="1"/>
  <c r="G24" i="1"/>
  <c r="G456" i="1"/>
  <c r="G367" i="1"/>
  <c r="G78" i="1"/>
  <c r="G511" i="1"/>
  <c r="G295" i="1"/>
  <c r="G320" i="1"/>
  <c r="G467" i="1"/>
  <c r="G434" i="1"/>
  <c r="G67" i="1"/>
  <c r="G472" i="1"/>
  <c r="G94" i="1"/>
  <c r="G135" i="1"/>
  <c r="G38" i="1"/>
  <c r="G276" i="1"/>
  <c r="G73" i="1"/>
  <c r="G257" i="1"/>
  <c r="G105" i="1"/>
  <c r="G502" i="1"/>
  <c r="G321" i="1"/>
  <c r="G387" i="1"/>
  <c r="G313" i="1"/>
  <c r="G194" i="1"/>
  <c r="G221" i="1"/>
  <c r="G151" i="1"/>
  <c r="G245" i="1"/>
  <c r="G124" i="1"/>
  <c r="G255" i="1"/>
  <c r="G349" i="1"/>
  <c r="G36" i="1"/>
  <c r="G496" i="1"/>
  <c r="G237" i="1"/>
  <c r="G441" i="1"/>
  <c r="G243" i="1"/>
  <c r="G250" i="1"/>
  <c r="G304" i="1"/>
  <c r="G520" i="1"/>
  <c r="G493" i="1"/>
  <c r="G106" i="1"/>
  <c r="G355" i="1"/>
  <c r="G316" i="1"/>
  <c r="G322" i="1"/>
  <c r="G299" i="1"/>
  <c r="G370" i="1"/>
  <c r="G457" i="1"/>
  <c r="G400" i="1"/>
  <c r="G223" i="1"/>
  <c r="G501" i="1"/>
  <c r="G303" i="1"/>
  <c r="G507" i="1"/>
  <c r="G211" i="1"/>
  <c r="G315" i="1"/>
  <c r="G190" i="1"/>
  <c r="G90" i="1"/>
  <c r="G353" i="1"/>
  <c r="G309" i="1"/>
  <c r="G489" i="1"/>
  <c r="G30" i="1"/>
  <c r="G81" i="1"/>
  <c r="G55" i="1"/>
  <c r="G91" i="1"/>
  <c r="G25" i="1"/>
  <c r="G454" i="1"/>
  <c r="G269" i="1"/>
  <c r="G288" i="1"/>
  <c r="G450" i="1"/>
  <c r="G324" i="1"/>
  <c r="G350" i="1"/>
  <c r="G344" i="1"/>
  <c r="G23" i="1"/>
  <c r="G241" i="1"/>
  <c r="G340" i="1"/>
  <c r="G429" i="1"/>
  <c r="G518" i="1"/>
  <c r="G332" i="1"/>
  <c r="G31" i="1"/>
  <c r="G265" i="1"/>
  <c r="G495" i="1"/>
  <c r="G480" i="1"/>
  <c r="G209" i="1"/>
  <c r="G475" i="1"/>
  <c r="G208" i="1"/>
  <c r="G69" i="1"/>
  <c r="G385" i="1"/>
  <c r="G401" i="1"/>
  <c r="G76" i="1"/>
  <c r="G224" i="1"/>
  <c r="G53" i="1"/>
  <c r="G49" i="1"/>
  <c r="G89" i="1"/>
  <c r="G57" i="1"/>
  <c r="G425" i="1"/>
  <c r="G101" i="1"/>
  <c r="G281" i="1"/>
  <c r="G119" i="1"/>
  <c r="G226" i="1"/>
  <c r="G413" i="1"/>
  <c r="G423" i="1"/>
  <c r="G168" i="1"/>
  <c r="G228" i="1"/>
  <c r="G410" i="1"/>
  <c r="G11" i="1"/>
  <c r="G218" i="1"/>
  <c r="G468" i="1"/>
  <c r="G427" i="1"/>
  <c r="G451" i="1"/>
  <c r="G311" i="1"/>
  <c r="G383" i="1"/>
  <c r="G390" i="1"/>
  <c r="G229" i="1"/>
  <c r="G59" i="1"/>
  <c r="G140" i="1"/>
  <c r="G179" i="1"/>
  <c r="G172" i="1"/>
  <c r="G443" i="1"/>
  <c r="G490" i="1"/>
  <c r="G45" i="1"/>
  <c r="G375" i="1"/>
  <c r="G186" i="1"/>
  <c r="G368" i="1"/>
  <c r="G455" i="1"/>
  <c r="G252" i="1"/>
  <c r="G384" i="1"/>
  <c r="G82" i="1"/>
  <c r="G327" i="1"/>
  <c r="G8" i="1"/>
  <c r="G283" i="1"/>
  <c r="G358" i="1"/>
  <c r="G360" i="1"/>
  <c r="G10" i="1"/>
  <c r="G514" i="1"/>
  <c r="G158" i="1"/>
  <c r="G273" i="1"/>
  <c r="G21" i="1"/>
  <c r="G32" i="1"/>
  <c r="G128" i="1"/>
  <c r="G310" i="1"/>
  <c r="G280" i="1"/>
  <c r="G352" i="1"/>
  <c r="G97" i="1"/>
  <c r="G200" i="1"/>
  <c r="G351" i="1"/>
  <c r="G377" i="1"/>
  <c r="G286" i="1"/>
  <c r="G330" i="1"/>
  <c r="G17" i="1"/>
  <c r="G83" i="1"/>
  <c r="G87" i="1"/>
  <c r="G112" i="1"/>
  <c r="G300" i="1"/>
  <c r="G404" i="1"/>
  <c r="G408" i="1"/>
  <c r="G445" i="1"/>
  <c r="G9" i="1"/>
  <c r="D157" i="1"/>
  <c r="D133" i="1"/>
  <c r="D306" i="1"/>
  <c r="D348" i="1"/>
  <c r="D256" i="1"/>
  <c r="D499" i="1"/>
  <c r="D409" i="1"/>
  <c r="D191" i="1"/>
  <c r="D466" i="1"/>
  <c r="D285" i="1"/>
  <c r="D27" i="1"/>
  <c r="D329" i="1"/>
  <c r="D435" i="1"/>
  <c r="D414" i="1"/>
  <c r="D205" i="1"/>
  <c r="D500" i="1"/>
  <c r="D459" i="1"/>
  <c r="D99" i="1"/>
  <c r="D51" i="1"/>
  <c r="D373" i="1"/>
  <c r="D117" i="1"/>
  <c r="D131" i="1"/>
  <c r="D50" i="1"/>
  <c r="D3" i="1"/>
  <c r="D428" i="1"/>
  <c r="D132" i="1"/>
  <c r="D328" i="1"/>
  <c r="D442" i="1"/>
  <c r="D417" i="1"/>
  <c r="D460" i="1"/>
  <c r="D64" i="1"/>
  <c r="D251" i="1"/>
  <c r="D16" i="1"/>
  <c r="D80" i="1"/>
  <c r="D485" i="1"/>
  <c r="D264" i="1"/>
  <c r="D268" i="1"/>
  <c r="D291" i="1"/>
  <c r="D238" i="1"/>
  <c r="D96" i="1"/>
  <c r="D312" i="1"/>
  <c r="D175" i="1"/>
  <c r="D412" i="1"/>
  <c r="D402" i="1"/>
  <c r="D506" i="1"/>
  <c r="D458" i="1"/>
  <c r="D422" i="1"/>
  <c r="D79" i="1"/>
  <c r="D415" i="1"/>
  <c r="D239" i="1"/>
  <c r="D483" i="1"/>
  <c r="D515" i="1"/>
  <c r="D488" i="1"/>
  <c r="D278" i="1"/>
  <c r="D359" i="1"/>
  <c r="D262" i="1"/>
  <c r="D12" i="1"/>
  <c r="D326" i="1"/>
  <c r="D503" i="1"/>
  <c r="D389" i="1"/>
  <c r="D44" i="1"/>
  <c r="D361" i="1"/>
  <c r="D210" i="1"/>
  <c r="D287" i="1"/>
  <c r="D139" i="1"/>
  <c r="D164" i="1"/>
  <c r="D420" i="1"/>
  <c r="D199" i="1"/>
  <c r="D267" i="1"/>
  <c r="D317" i="1"/>
  <c r="D398" i="1"/>
  <c r="D481" i="1"/>
  <c r="D277" i="1"/>
  <c r="D292" i="1"/>
  <c r="D345" i="1"/>
  <c r="D178" i="1"/>
  <c r="D470" i="1"/>
  <c r="D167" i="1"/>
  <c r="D437" i="1"/>
  <c r="D204" i="1"/>
  <c r="D369" i="1"/>
  <c r="D70" i="1"/>
  <c r="D72" i="1"/>
  <c r="D174" i="1"/>
  <c r="D54" i="1"/>
  <c r="D171" i="1"/>
  <c r="D19" i="1"/>
  <c r="D524" i="1"/>
  <c r="D374" i="1"/>
  <c r="D282" i="1"/>
  <c r="D364" i="1"/>
  <c r="D411" i="1"/>
  <c r="D153" i="1"/>
  <c r="D29" i="1"/>
  <c r="D225" i="1"/>
  <c r="D180" i="1"/>
  <c r="D395" i="1"/>
  <c r="D465" i="1"/>
  <c r="D142" i="1"/>
  <c r="D189" i="1"/>
  <c r="D130" i="1"/>
  <c r="D396" i="1"/>
  <c r="D294" i="1"/>
  <c r="D512" i="1"/>
  <c r="D391" i="1"/>
  <c r="D136" i="1"/>
  <c r="D290" i="1"/>
  <c r="D95" i="1"/>
  <c r="D148" i="1"/>
  <c r="D39" i="1"/>
  <c r="D462" i="1"/>
  <c r="D146" i="1"/>
  <c r="D307" i="1"/>
  <c r="D487" i="1"/>
  <c r="D302" i="1"/>
  <c r="D126" i="1"/>
  <c r="D293" i="1"/>
  <c r="D143" i="1"/>
  <c r="D165" i="1"/>
  <c r="D339" i="1"/>
  <c r="D107" i="1"/>
  <c r="D134" i="1"/>
  <c r="D150" i="1"/>
  <c r="D109" i="1"/>
  <c r="D227" i="1"/>
  <c r="D334" i="1"/>
  <c r="D477" i="1"/>
  <c r="D363" i="1"/>
  <c r="D86" i="1"/>
  <c r="D145" i="1"/>
  <c r="D40" i="1"/>
  <c r="D491" i="1"/>
  <c r="D431" i="1"/>
  <c r="D446" i="1"/>
  <c r="D220" i="1"/>
  <c r="D484" i="1"/>
  <c r="D430" i="1"/>
  <c r="D325" i="1"/>
  <c r="D516" i="1"/>
  <c r="D509" i="1"/>
  <c r="D274" i="1"/>
  <c r="D185" i="1"/>
  <c r="D196" i="1"/>
  <c r="D331" i="1"/>
  <c r="D421" i="1"/>
  <c r="D362" i="1"/>
  <c r="D463" i="1"/>
  <c r="D464" i="1"/>
  <c r="D203" i="1"/>
  <c r="D98" i="1"/>
  <c r="D399" i="1"/>
  <c r="D144" i="1"/>
  <c r="D206" i="1"/>
  <c r="D48" i="1"/>
  <c r="D166" i="1"/>
  <c r="D52" i="1"/>
  <c r="D444" i="1"/>
  <c r="D141" i="1"/>
  <c r="D469" i="1"/>
  <c r="D403" i="1"/>
  <c r="D249" i="1"/>
  <c r="D42" i="1"/>
  <c r="D62" i="1"/>
  <c r="D235" i="1"/>
  <c r="D478" i="1"/>
  <c r="D127" i="1"/>
  <c r="D254" i="1"/>
  <c r="D338" i="1"/>
  <c r="D234" i="1"/>
  <c r="D24" i="1"/>
  <c r="D456" i="1"/>
  <c r="D367" i="1"/>
  <c r="D78" i="1"/>
  <c r="D511" i="1"/>
  <c r="D295" i="1"/>
  <c r="D320" i="1"/>
  <c r="D467" i="1"/>
  <c r="D434" i="1"/>
  <c r="D67" i="1"/>
  <c r="D472" i="1"/>
  <c r="D94" i="1"/>
  <c r="D135" i="1"/>
  <c r="D38" i="1"/>
  <c r="D37" i="1"/>
  <c r="D276" i="1"/>
  <c r="D73" i="1"/>
  <c r="D257" i="1"/>
  <c r="D105" i="1"/>
  <c r="D502" i="1"/>
  <c r="D321" i="1"/>
  <c r="D387" i="1"/>
  <c r="D313" i="1"/>
  <c r="D194" i="1"/>
  <c r="D221" i="1"/>
  <c r="D151" i="1"/>
  <c r="D245" i="1"/>
  <c r="D124" i="1"/>
  <c r="D255" i="1"/>
  <c r="D349" i="1"/>
  <c r="D36" i="1"/>
  <c r="D496" i="1"/>
  <c r="D177" i="1"/>
  <c r="D441" i="1"/>
  <c r="D243" i="1"/>
  <c r="D304" i="1"/>
  <c r="D370" i="1"/>
  <c r="D457" i="1"/>
  <c r="D400" i="1"/>
  <c r="D501" i="1"/>
  <c r="D303" i="1"/>
  <c r="D315" i="1"/>
  <c r="D190" i="1"/>
  <c r="D90" i="1"/>
  <c r="D104" i="1"/>
  <c r="D353" i="1"/>
  <c r="D452" i="1"/>
  <c r="D309" i="1"/>
  <c r="D489" i="1"/>
  <c r="D30" i="1"/>
  <c r="D81" i="1"/>
  <c r="D55" i="1"/>
  <c r="D91" i="1"/>
  <c r="D25" i="1"/>
  <c r="D454" i="1"/>
  <c r="D419" i="1"/>
  <c r="D269" i="1"/>
  <c r="D288" i="1"/>
  <c r="D450" i="1"/>
  <c r="D324" i="1"/>
  <c r="D350" i="1"/>
  <c r="D344" i="1"/>
  <c r="D23" i="1"/>
  <c r="D241" i="1"/>
  <c r="D340" i="1"/>
  <c r="D429" i="1"/>
  <c r="D518" i="1"/>
  <c r="D332" i="1"/>
  <c r="D31" i="1"/>
  <c r="D265" i="1"/>
  <c r="D495" i="1"/>
  <c r="D480" i="1"/>
  <c r="D209" i="1"/>
  <c r="D475" i="1"/>
  <c r="D208" i="1"/>
  <c r="D69" i="1"/>
  <c r="D385" i="1"/>
  <c r="D401" i="1"/>
  <c r="D76" i="1"/>
  <c r="D224" i="1"/>
  <c r="D53" i="1"/>
  <c r="D49" i="1"/>
  <c r="D89" i="1"/>
  <c r="D57" i="1"/>
  <c r="D425" i="1"/>
  <c r="D101" i="1"/>
  <c r="D281" i="1"/>
  <c r="D119" i="1"/>
  <c r="D226" i="1"/>
  <c r="D413" i="1"/>
  <c r="D423" i="1"/>
  <c r="D168" i="1"/>
  <c r="D228" i="1"/>
  <c r="D410" i="1"/>
  <c r="D11" i="1"/>
  <c r="D218" i="1"/>
  <c r="D468" i="1"/>
  <c r="D427" i="1"/>
  <c r="D451" i="1"/>
  <c r="D311" i="1"/>
  <c r="D383" i="1"/>
  <c r="D390" i="1"/>
  <c r="D229" i="1"/>
  <c r="D59" i="1"/>
  <c r="D140" i="1"/>
  <c r="D179" i="1"/>
  <c r="D172" i="1"/>
  <c r="D443" i="1"/>
  <c r="D490" i="1"/>
  <c r="D45" i="1"/>
  <c r="D186" i="1"/>
  <c r="D368" i="1"/>
  <c r="D455" i="1"/>
  <c r="D252" i="1"/>
  <c r="D384" i="1"/>
  <c r="D82" i="1"/>
  <c r="D327" i="1"/>
  <c r="D394" i="1"/>
  <c r="D8" i="1"/>
  <c r="D283" i="1"/>
  <c r="D358" i="1"/>
  <c r="D360" i="1"/>
  <c r="D10" i="1"/>
  <c r="D514" i="1"/>
  <c r="D158" i="1"/>
  <c r="D273" i="1"/>
  <c r="D21" i="1"/>
  <c r="D32" i="1"/>
  <c r="D128" i="1"/>
  <c r="D310" i="1"/>
  <c r="D280" i="1"/>
  <c r="D352" i="1"/>
  <c r="D97" i="1"/>
  <c r="D200" i="1"/>
  <c r="D351" i="1"/>
  <c r="D377" i="1"/>
  <c r="D286" i="1"/>
  <c r="D330" i="1"/>
  <c r="D17" i="1"/>
  <c r="D83" i="1"/>
  <c r="D87" i="1"/>
  <c r="D112" i="1"/>
  <c r="D300" i="1"/>
  <c r="D404" i="1"/>
  <c r="D408" i="1"/>
  <c r="D445" i="1"/>
  <c r="D9" i="1"/>
  <c r="H521" i="1"/>
  <c r="F521" i="1"/>
  <c r="E521" i="1"/>
  <c r="G521" i="1" s="1"/>
  <c r="C521" i="1"/>
  <c r="B521" i="1"/>
  <c r="H520" i="1"/>
  <c r="C520" i="1"/>
  <c r="B520" i="1"/>
  <c r="H510" i="1"/>
  <c r="F510" i="1"/>
  <c r="E510" i="1"/>
  <c r="G510" i="1" s="1"/>
  <c r="C510" i="1"/>
  <c r="B510" i="1"/>
  <c r="D510" i="1" s="1"/>
  <c r="G509" i="1"/>
  <c r="H508" i="1"/>
  <c r="F508" i="1"/>
  <c r="E508" i="1"/>
  <c r="C508" i="1"/>
  <c r="B508" i="1"/>
  <c r="H507" i="1"/>
  <c r="C507" i="1"/>
  <c r="B507" i="1"/>
  <c r="H505" i="1"/>
  <c r="F505" i="1"/>
  <c r="E505" i="1"/>
  <c r="C505" i="1"/>
  <c r="B505" i="1"/>
  <c r="H504" i="1"/>
  <c r="F504" i="1"/>
  <c r="E504" i="1"/>
  <c r="C504" i="1"/>
  <c r="B504" i="1"/>
  <c r="C493" i="1"/>
  <c r="B493" i="1"/>
  <c r="H486" i="1"/>
  <c r="F486" i="1"/>
  <c r="E486" i="1"/>
  <c r="G486" i="1" s="1"/>
  <c r="C486" i="1"/>
  <c r="B486" i="1"/>
  <c r="H482" i="1"/>
  <c r="F482" i="1"/>
  <c r="E482" i="1"/>
  <c r="G482" i="1" s="1"/>
  <c r="C482" i="1"/>
  <c r="B482" i="1"/>
  <c r="D482" i="1" s="1"/>
  <c r="F479" i="1"/>
  <c r="E479" i="1"/>
  <c r="F477" i="1"/>
  <c r="G477" i="1" s="1"/>
  <c r="H476" i="1"/>
  <c r="F476" i="1"/>
  <c r="E476" i="1"/>
  <c r="C476" i="1"/>
  <c r="B476" i="1"/>
  <c r="H473" i="1"/>
  <c r="F473" i="1"/>
  <c r="E473" i="1"/>
  <c r="C473" i="1"/>
  <c r="B473" i="1"/>
  <c r="I441" i="1"/>
  <c r="H441" i="1"/>
  <c r="H440" i="1"/>
  <c r="F440" i="1"/>
  <c r="E440" i="1"/>
  <c r="G440" i="1" s="1"/>
  <c r="C440" i="1"/>
  <c r="B440" i="1"/>
  <c r="H438" i="1"/>
  <c r="F438" i="1"/>
  <c r="E438" i="1"/>
  <c r="C438" i="1"/>
  <c r="B438" i="1"/>
  <c r="H436" i="1"/>
  <c r="F436" i="1"/>
  <c r="E436" i="1"/>
  <c r="C436" i="1"/>
  <c r="B436" i="1"/>
  <c r="H433" i="1"/>
  <c r="F433" i="1"/>
  <c r="E433" i="1"/>
  <c r="C433" i="1"/>
  <c r="B433" i="1"/>
  <c r="G432" i="1"/>
  <c r="F426" i="1"/>
  <c r="E426" i="1"/>
  <c r="C426" i="1"/>
  <c r="B426" i="1"/>
  <c r="H406" i="1"/>
  <c r="F406" i="1"/>
  <c r="E406" i="1"/>
  <c r="G406" i="1" s="1"/>
  <c r="C406" i="1"/>
  <c r="B406" i="1"/>
  <c r="D406" i="1" s="1"/>
  <c r="H405" i="1"/>
  <c r="F405" i="1"/>
  <c r="E405" i="1"/>
  <c r="G405" i="1" s="1"/>
  <c r="C405" i="1"/>
  <c r="B405" i="1"/>
  <c r="H382" i="1"/>
  <c r="F382" i="1"/>
  <c r="E382" i="1"/>
  <c r="C382" i="1"/>
  <c r="B382" i="1"/>
  <c r="E380" i="1"/>
  <c r="G380" i="1" s="1"/>
  <c r="H378" i="1"/>
  <c r="F378" i="1"/>
  <c r="E378" i="1"/>
  <c r="C378" i="1"/>
  <c r="B378" i="1"/>
  <c r="H376" i="1"/>
  <c r="H372" i="1"/>
  <c r="F372" i="1"/>
  <c r="E372" i="1"/>
  <c r="D372" i="1"/>
  <c r="H371" i="1"/>
  <c r="E371" i="1"/>
  <c r="G371" i="1" s="1"/>
  <c r="C371" i="1"/>
  <c r="B371" i="1"/>
  <c r="G356" i="1"/>
  <c r="H355" i="1"/>
  <c r="F355" i="1"/>
  <c r="C355" i="1"/>
  <c r="B355" i="1"/>
  <c r="H347" i="1"/>
  <c r="F347" i="1"/>
  <c r="E347" i="1"/>
  <c r="B347" i="1"/>
  <c r="D347" i="1" s="1"/>
  <c r="I346" i="1"/>
  <c r="H346" i="1"/>
  <c r="B346" i="1"/>
  <c r="H336" i="1"/>
  <c r="F336" i="1"/>
  <c r="E336" i="1"/>
  <c r="C336" i="1"/>
  <c r="B336" i="1"/>
  <c r="H335" i="1"/>
  <c r="F335" i="1"/>
  <c r="E335" i="1"/>
  <c r="C335" i="1"/>
  <c r="B335" i="1"/>
  <c r="F331" i="1"/>
  <c r="E331" i="1"/>
  <c r="H322" i="1"/>
  <c r="F322" i="1"/>
  <c r="C322" i="1"/>
  <c r="B322" i="1"/>
  <c r="H316" i="1"/>
  <c r="C316" i="1"/>
  <c r="B316" i="1"/>
  <c r="F305" i="1"/>
  <c r="E305" i="1"/>
  <c r="B299" i="1"/>
  <c r="D299" i="1" s="1"/>
  <c r="H298" i="1"/>
  <c r="F298" i="1"/>
  <c r="E298" i="1"/>
  <c r="C298" i="1"/>
  <c r="B298" i="1"/>
  <c r="H296" i="1"/>
  <c r="F296" i="1"/>
  <c r="E296" i="1"/>
  <c r="C296" i="1"/>
  <c r="B296" i="1"/>
  <c r="H289" i="1"/>
  <c r="F289" i="1"/>
  <c r="E289" i="1"/>
  <c r="C289" i="1"/>
  <c r="B289" i="1"/>
  <c r="H284" i="1"/>
  <c r="F284" i="1"/>
  <c r="E284" i="1"/>
  <c r="C284" i="1"/>
  <c r="B284" i="1"/>
  <c r="H275" i="1"/>
  <c r="F275" i="1"/>
  <c r="E275" i="1"/>
  <c r="C275" i="1"/>
  <c r="B275" i="1"/>
  <c r="H272" i="1"/>
  <c r="F272" i="1"/>
  <c r="E272" i="1"/>
  <c r="C272" i="1"/>
  <c r="B272" i="1"/>
  <c r="H271" i="1"/>
  <c r="E271" i="1"/>
  <c r="G271" i="1" s="1"/>
  <c r="C271" i="1"/>
  <c r="B271" i="1"/>
  <c r="H259" i="1"/>
  <c r="F259" i="1"/>
  <c r="E259" i="1"/>
  <c r="G259" i="1" s="1"/>
  <c r="C259" i="1"/>
  <c r="B259" i="1"/>
  <c r="H253" i="1"/>
  <c r="F253" i="1"/>
  <c r="E253" i="1"/>
  <c r="C253" i="1"/>
  <c r="B253" i="1"/>
  <c r="H250" i="1"/>
  <c r="C250" i="1"/>
  <c r="B250" i="1"/>
  <c r="H244" i="1"/>
  <c r="F244" i="1"/>
  <c r="E244" i="1"/>
  <c r="C244" i="1"/>
  <c r="B244" i="1"/>
  <c r="D244" i="1" s="1"/>
  <c r="H237" i="1"/>
  <c r="F237" i="1"/>
  <c r="C237" i="1"/>
  <c r="B237" i="1"/>
  <c r="H236" i="1"/>
  <c r="F236" i="1"/>
  <c r="E236" i="1"/>
  <c r="C236" i="1"/>
  <c r="B236" i="1"/>
  <c r="H230" i="1"/>
  <c r="F230" i="1"/>
  <c r="E230" i="1"/>
  <c r="C230" i="1"/>
  <c r="B230" i="1"/>
  <c r="C223" i="1"/>
  <c r="B223" i="1"/>
  <c r="I219" i="1"/>
  <c r="H219" i="1"/>
  <c r="F219" i="1"/>
  <c r="E219" i="1"/>
  <c r="C219" i="1"/>
  <c r="B219" i="1"/>
  <c r="H215" i="1"/>
  <c r="F215" i="1"/>
  <c r="E215" i="1"/>
  <c r="C215" i="1"/>
  <c r="B215" i="1"/>
  <c r="H212" i="1"/>
  <c r="F212" i="1"/>
  <c r="E212" i="1"/>
  <c r="C212" i="1"/>
  <c r="B212" i="1"/>
  <c r="C211" i="1"/>
  <c r="B211" i="1"/>
  <c r="H201" i="1"/>
  <c r="F201" i="1"/>
  <c r="E201" i="1"/>
  <c r="C201" i="1"/>
  <c r="B201" i="1"/>
  <c r="H197" i="1"/>
  <c r="F197" i="1"/>
  <c r="E197" i="1"/>
  <c r="C197" i="1"/>
  <c r="B197" i="1"/>
  <c r="H193" i="1"/>
  <c r="F193" i="1"/>
  <c r="E193" i="1"/>
  <c r="C193" i="1"/>
  <c r="B193" i="1"/>
  <c r="F188" i="1"/>
  <c r="E188" i="1"/>
  <c r="C188" i="1"/>
  <c r="B188" i="1"/>
  <c r="H187" i="1"/>
  <c r="F187" i="1"/>
  <c r="E187" i="1"/>
  <c r="C187" i="1"/>
  <c r="B187" i="1"/>
  <c r="E177" i="1"/>
  <c r="G177" i="1" s="1"/>
  <c r="F176" i="1"/>
  <c r="E176" i="1"/>
  <c r="C176" i="1"/>
  <c r="B176" i="1"/>
  <c r="H161" i="1"/>
  <c r="F161" i="1"/>
  <c r="E161" i="1"/>
  <c r="C161" i="1"/>
  <c r="B161" i="1"/>
  <c r="H154" i="1"/>
  <c r="F154" i="1"/>
  <c r="E154" i="1"/>
  <c r="C154" i="1"/>
  <c r="B154" i="1"/>
  <c r="H149" i="1"/>
  <c r="F149" i="1"/>
  <c r="E149" i="1"/>
  <c r="C149" i="1"/>
  <c r="B149" i="1"/>
  <c r="H147" i="1"/>
  <c r="F147" i="1"/>
  <c r="E147" i="1"/>
  <c r="C147" i="1"/>
  <c r="B147" i="1"/>
  <c r="F138" i="1"/>
  <c r="E138" i="1"/>
  <c r="C138" i="1"/>
  <c r="B138" i="1"/>
  <c r="H116" i="1"/>
  <c r="F116" i="1"/>
  <c r="E116" i="1"/>
  <c r="C116" i="1"/>
  <c r="B116" i="1"/>
  <c r="H115" i="1"/>
  <c r="F115" i="1"/>
  <c r="E115" i="1"/>
  <c r="B115" i="1"/>
  <c r="D115" i="1" s="1"/>
  <c r="H114" i="1"/>
  <c r="F114" i="1"/>
  <c r="E114" i="1"/>
  <c r="C114" i="1"/>
  <c r="B114" i="1"/>
  <c r="B106" i="1"/>
  <c r="D106" i="1" s="1"/>
  <c r="H104" i="1"/>
  <c r="F104" i="1"/>
  <c r="E104" i="1"/>
  <c r="G104" i="1" s="1"/>
  <c r="C104" i="1"/>
  <c r="H100" i="1"/>
  <c r="F100" i="1"/>
  <c r="G100" i="1" s="1"/>
  <c r="C100" i="1"/>
  <c r="B100" i="1"/>
  <c r="H85" i="1"/>
  <c r="F85" i="1"/>
  <c r="E85" i="1"/>
  <c r="C85" i="1"/>
  <c r="B85" i="1"/>
  <c r="H77" i="1"/>
  <c r="F77" i="1"/>
  <c r="E77" i="1"/>
  <c r="C77" i="1"/>
  <c r="B77" i="1"/>
  <c r="H61" i="1"/>
  <c r="F61" i="1"/>
  <c r="E61" i="1"/>
  <c r="C61" i="1"/>
  <c r="B61" i="1"/>
  <c r="H58" i="1"/>
  <c r="F58" i="1"/>
  <c r="E58" i="1"/>
  <c r="C58" i="1"/>
  <c r="B58" i="1"/>
  <c r="H56" i="1"/>
  <c r="F56" i="1"/>
  <c r="E56" i="1"/>
  <c r="G56" i="1" s="1"/>
  <c r="C56" i="1"/>
  <c r="B56" i="1"/>
  <c r="H47" i="1"/>
  <c r="F47" i="1"/>
  <c r="E47" i="1"/>
  <c r="C47" i="1"/>
  <c r="B47" i="1"/>
  <c r="D47" i="1" s="1"/>
  <c r="H37" i="1"/>
  <c r="F37" i="1"/>
  <c r="E37" i="1"/>
  <c r="H34" i="1"/>
  <c r="F34" i="1"/>
  <c r="E34" i="1"/>
  <c r="G34" i="1" s="1"/>
  <c r="C34" i="1"/>
  <c r="B34" i="1"/>
  <c r="H33" i="1"/>
  <c r="F33" i="1"/>
  <c r="E33" i="1"/>
  <c r="C33" i="1"/>
  <c r="B33" i="1"/>
  <c r="B20" i="1"/>
  <c r="D20" i="1" s="1"/>
  <c r="F18" i="1"/>
  <c r="G18" i="1" s="1"/>
  <c r="C18" i="1"/>
  <c r="B18" i="1"/>
  <c r="F14" i="1"/>
  <c r="E14" i="1"/>
  <c r="C14" i="1"/>
  <c r="B14" i="1"/>
  <c r="D407" i="1" l="1"/>
  <c r="D35" i="1"/>
  <c r="G183" i="1"/>
  <c r="D22" i="1"/>
  <c r="G216" i="1"/>
  <c r="G92" i="1"/>
  <c r="G84" i="1"/>
  <c r="G113" i="1"/>
  <c r="G513" i="1"/>
  <c r="G159" i="1"/>
  <c r="D159" i="1"/>
  <c r="G169" i="1"/>
  <c r="G4" i="1"/>
  <c r="D479" i="1"/>
  <c r="D233" i="1"/>
  <c r="D492" i="1"/>
  <c r="D118" i="1"/>
  <c r="D192" i="1"/>
  <c r="D160" i="1"/>
  <c r="D270" i="1"/>
  <c r="D162" i="1"/>
  <c r="G379" i="1"/>
  <c r="G279" i="1"/>
  <c r="D183" i="1"/>
  <c r="D13" i="1"/>
  <c r="D176" i="1"/>
  <c r="D449" i="1"/>
  <c r="G289" i="1"/>
  <c r="D316" i="1"/>
  <c r="G336" i="1"/>
  <c r="D155" i="1"/>
  <c r="G152" i="1"/>
  <c r="G376" i="1"/>
  <c r="D375" i="1"/>
  <c r="G182" i="1"/>
  <c r="D161" i="1"/>
  <c r="G394" i="1"/>
  <c r="G365" i="1"/>
  <c r="D323" i="1"/>
  <c r="G111" i="1"/>
  <c r="G471" i="1"/>
  <c r="G248" i="1"/>
  <c r="G162" i="1"/>
  <c r="G65" i="1"/>
  <c r="G187" i="1"/>
  <c r="D253" i="1"/>
  <c r="G453" i="1"/>
  <c r="D85" i="1"/>
  <c r="G114" i="1"/>
  <c r="G75" i="1"/>
  <c r="D386" i="1"/>
  <c r="G366" i="1"/>
  <c r="D149" i="1"/>
  <c r="G335" i="1"/>
  <c r="D61" i="1"/>
  <c r="G2" i="1"/>
  <c r="D5" i="1"/>
  <c r="D188" i="1"/>
  <c r="G201" i="1"/>
  <c r="D275" i="1"/>
  <c r="G517" i="1"/>
  <c r="D342" i="1"/>
  <c r="D108" i="1"/>
  <c r="G122" i="1"/>
  <c r="D147" i="1"/>
  <c r="D14" i="1"/>
  <c r="G347" i="1"/>
  <c r="D436" i="1"/>
  <c r="G14" i="1"/>
  <c r="G58" i="1"/>
  <c r="G308" i="1"/>
  <c r="G232" i="1"/>
  <c r="G155" i="1"/>
  <c r="D182" i="1"/>
  <c r="D56" i="1"/>
  <c r="D138" i="1"/>
  <c r="G154" i="1"/>
  <c r="D433" i="1"/>
  <c r="D504" i="1"/>
  <c r="D305" i="1"/>
  <c r="D308" i="1"/>
  <c r="G66" i="1"/>
  <c r="D41" i="1"/>
  <c r="G386" i="1"/>
  <c r="D111" i="1"/>
  <c r="G253" i="1"/>
  <c r="D296" i="1"/>
  <c r="D322" i="1"/>
  <c r="D405" i="1"/>
  <c r="G479" i="1"/>
  <c r="D197" i="1"/>
  <c r="G230" i="1"/>
  <c r="D438" i="1"/>
  <c r="G494" i="1"/>
  <c r="D341" i="1"/>
  <c r="G33" i="1"/>
  <c r="D77" i="1"/>
  <c r="G215" i="1"/>
  <c r="D236" i="1"/>
  <c r="D272" i="1"/>
  <c r="D371" i="1"/>
  <c r="G426" i="1"/>
  <c r="G476" i="1"/>
  <c r="D356" i="1"/>
  <c r="G439" i="1"/>
  <c r="D319" i="1"/>
  <c r="G508" i="1"/>
  <c r="G474" i="1"/>
  <c r="D439" i="1"/>
  <c r="D202" i="1"/>
  <c r="G102" i="1"/>
  <c r="D432" i="1"/>
  <c r="D397" i="1"/>
  <c r="G202" i="1"/>
  <c r="D2" i="1"/>
  <c r="G447" i="1"/>
  <c r="G460" i="1"/>
  <c r="G5" i="1"/>
  <c r="D333" i="1"/>
  <c r="D181" i="1"/>
  <c r="G176" i="1"/>
  <c r="G212" i="1"/>
  <c r="D230" i="1"/>
  <c r="D271" i="1"/>
  <c r="G298" i="1"/>
  <c r="D520" i="1"/>
  <c r="D65" i="1"/>
  <c r="D163" i="1"/>
  <c r="G7" i="1"/>
  <c r="D121" i="1"/>
  <c r="D471" i="1"/>
  <c r="G461" i="1"/>
  <c r="D137" i="1"/>
  <c r="D266" i="1"/>
  <c r="G43" i="1"/>
  <c r="G93" i="1"/>
  <c r="G342" i="1"/>
  <c r="D497" i="1"/>
  <c r="D447" i="1"/>
  <c r="G318" i="1"/>
  <c r="D152" i="1"/>
  <c r="G41" i="1"/>
  <c r="D58" i="1"/>
  <c r="G161" i="1"/>
  <c r="G188" i="1"/>
  <c r="D259" i="1"/>
  <c r="D376" i="1"/>
  <c r="D28" i="1"/>
  <c r="G60" i="1"/>
  <c r="D232" i="1"/>
  <c r="D461" i="1"/>
  <c r="D279" i="1"/>
  <c r="D110" i="1"/>
  <c r="D18" i="1"/>
  <c r="G37" i="1"/>
  <c r="D298" i="1"/>
  <c r="D378" i="1"/>
  <c r="D473" i="1"/>
  <c r="D505" i="1"/>
  <c r="G260" i="1"/>
  <c r="G354" i="1"/>
  <c r="G523" i="1"/>
  <c r="G323" i="1"/>
  <c r="D74" i="1"/>
  <c r="G498" i="1"/>
  <c r="D100" i="1"/>
  <c r="G436" i="1"/>
  <c r="G418" i="1"/>
  <c r="D102" i="1"/>
  <c r="G68" i="1"/>
  <c r="D343" i="1"/>
  <c r="D60" i="1"/>
  <c r="D508" i="1"/>
  <c r="D247" i="1"/>
  <c r="D15" i="1"/>
  <c r="D215" i="1"/>
  <c r="D250" i="1"/>
  <c r="D507" i="1"/>
  <c r="D122" i="1"/>
  <c r="G431" i="1"/>
  <c r="D154" i="1"/>
  <c r="D187" i="1"/>
  <c r="G197" i="1"/>
  <c r="D289" i="1"/>
  <c r="G305" i="1"/>
  <c r="D336" i="1"/>
  <c r="G438" i="1"/>
  <c r="D93" i="1"/>
  <c r="G263" i="1"/>
  <c r="D357" i="1"/>
  <c r="D68" i="1"/>
  <c r="D519" i="1"/>
  <c r="G343" i="1"/>
  <c r="G116" i="1"/>
  <c r="D365" i="1"/>
  <c r="D34" i="1"/>
  <c r="G77" i="1"/>
  <c r="D201" i="1"/>
  <c r="G236" i="1"/>
  <c r="G272" i="1"/>
  <c r="G382" i="1"/>
  <c r="G452" i="1"/>
  <c r="G333" i="1"/>
  <c r="G247" i="1"/>
  <c r="D263" i="1"/>
  <c r="D498" i="1"/>
  <c r="D114" i="1"/>
  <c r="G138" i="1"/>
  <c r="D219" i="1"/>
  <c r="D440" i="1"/>
  <c r="D43" i="1"/>
  <c r="D366" i="1"/>
  <c r="D66" i="1"/>
  <c r="G85" i="1"/>
  <c r="D211" i="1"/>
  <c r="G504" i="1"/>
  <c r="G137" i="1"/>
  <c r="G266" i="1"/>
  <c r="G108" i="1"/>
  <c r="G346" i="1"/>
  <c r="D75" i="1"/>
  <c r="D318" i="1"/>
  <c r="D222" i="1"/>
  <c r="D382" i="1"/>
  <c r="G147" i="1"/>
  <c r="D521" i="1"/>
  <c r="G115" i="1"/>
  <c r="D193" i="1"/>
  <c r="D212" i="1"/>
  <c r="D223" i="1"/>
  <c r="G275" i="1"/>
  <c r="G296" i="1"/>
  <c r="G372" i="1"/>
  <c r="D493" i="1"/>
  <c r="G449" i="1"/>
  <c r="G28" i="1"/>
  <c r="G505" i="1"/>
  <c r="G156" i="1"/>
  <c r="D426" i="1"/>
  <c r="D237" i="1"/>
  <c r="G193" i="1"/>
  <c r="G331" i="1"/>
  <c r="G433" i="1"/>
  <c r="G181" i="1"/>
  <c r="G341" i="1"/>
  <c r="D33" i="1"/>
  <c r="G47" i="1"/>
  <c r="G61" i="1"/>
  <c r="D116" i="1"/>
  <c r="G149" i="1"/>
  <c r="G244" i="1"/>
  <c r="D284" i="1"/>
  <c r="D335" i="1"/>
  <c r="G378" i="1"/>
  <c r="D7" i="1"/>
  <c r="G357" i="1"/>
  <c r="G110" i="1"/>
  <c r="G473" i="1"/>
  <c r="D486" i="1"/>
  <c r="D476" i="1"/>
  <c r="G219" i="1"/>
  <c r="D346" i="1"/>
  <c r="G397" i="1"/>
  <c r="D6" i="1"/>
  <c r="G121" i="1"/>
  <c r="G284" i="1"/>
  <c r="D355" i="1"/>
  <c r="D453" i="1"/>
</calcChain>
</file>

<file path=xl/sharedStrings.xml><?xml version="1.0" encoding="utf-8"?>
<sst xmlns="http://schemas.openxmlformats.org/spreadsheetml/2006/main" count="540" uniqueCount="529">
  <si>
    <t>Innings</t>
  </si>
  <si>
    <t>Runs</t>
  </si>
  <si>
    <t>Average</t>
  </si>
  <si>
    <t>Wkts</t>
  </si>
  <si>
    <t>Catch</t>
  </si>
  <si>
    <t>Stump</t>
  </si>
  <si>
    <t>ACKERLEY.S</t>
  </si>
  <si>
    <t>ALDERSON.W</t>
  </si>
  <si>
    <t>ALEXANDER.B</t>
  </si>
  <si>
    <t>ALEXANDER.J</t>
  </si>
  <si>
    <t>ALEXANDER.M</t>
  </si>
  <si>
    <t>ALEXANDER.P</t>
  </si>
  <si>
    <t>ALLFORD.M</t>
  </si>
  <si>
    <t>ANDERSON.P</t>
  </si>
  <si>
    <t>ANDREWS.R</t>
  </si>
  <si>
    <t>ARNOLD.B</t>
  </si>
  <si>
    <t>ARNOLD.C</t>
  </si>
  <si>
    <t>ARNOLD.J</t>
  </si>
  <si>
    <t>ARNOLD.S</t>
  </si>
  <si>
    <t>ASTELL.S</t>
  </si>
  <si>
    <t>ATKINS.B</t>
  </si>
  <si>
    <t>ATKINS.G</t>
  </si>
  <si>
    <t>AYRES.C</t>
  </si>
  <si>
    <t>BADCOCK.P</t>
  </si>
  <si>
    <t>BAILEY.M</t>
  </si>
  <si>
    <t>BAILEY.N</t>
  </si>
  <si>
    <t>BAILEY.P</t>
  </si>
  <si>
    <t>BAILEY.S</t>
  </si>
  <si>
    <t>BAKES.T</t>
  </si>
  <si>
    <t>BANFIELD.T</t>
  </si>
  <si>
    <t>BARNARD.M</t>
  </si>
  <si>
    <t>BARNES.R</t>
  </si>
  <si>
    <t>BEAMISH.A</t>
  </si>
  <si>
    <t>BELBIN.G</t>
  </si>
  <si>
    <t>BENNETT.A</t>
  </si>
  <si>
    <t>BENNETT.M</t>
  </si>
  <si>
    <t>BERWICK.K</t>
  </si>
  <si>
    <t>BEST.M</t>
  </si>
  <si>
    <t>BEVERIDGE.J</t>
  </si>
  <si>
    <t>BINNS.D</t>
  </si>
  <si>
    <t>BIRKETT.P</t>
  </si>
  <si>
    <t>BLAIR.C</t>
  </si>
  <si>
    <t>BLIGH.D</t>
  </si>
  <si>
    <t>BOGANOFF.A</t>
  </si>
  <si>
    <t>BONNEY.J</t>
  </si>
  <si>
    <t>BONNEY.P</t>
  </si>
  <si>
    <t>BOON.A</t>
  </si>
  <si>
    <t>BOON.C</t>
  </si>
  <si>
    <t>BOTT.K</t>
  </si>
  <si>
    <t>BOUCHER.J</t>
  </si>
  <si>
    <t>BOWDEN.J</t>
  </si>
  <si>
    <t>BOWLES.D</t>
  </si>
  <si>
    <t>BRAMICH.N</t>
  </si>
  <si>
    <t>BROOKE.T</t>
  </si>
  <si>
    <t>BROWN.G</t>
  </si>
  <si>
    <t>BROWN.K</t>
  </si>
  <si>
    <t>BROWN.R</t>
  </si>
  <si>
    <t>BRUMBY.M</t>
  </si>
  <si>
    <t>BRYAN.J</t>
  </si>
  <si>
    <t>BURKE.C</t>
  </si>
  <si>
    <t>BURTON.J</t>
  </si>
  <si>
    <t>BURTT.M</t>
  </si>
  <si>
    <t>CADLE.D</t>
  </si>
  <si>
    <t>CAMPREY.G</t>
  </si>
  <si>
    <t>CAREY.A</t>
  </si>
  <si>
    <t>CARNEY.B</t>
  </si>
  <si>
    <t>CARROL.J</t>
  </si>
  <si>
    <t>CASEY.T</t>
  </si>
  <si>
    <t>CASHION.M</t>
  </si>
  <si>
    <t>CASSIDY.D</t>
  </si>
  <si>
    <t>CHARLESWORTH.L</t>
  </si>
  <si>
    <t>CHILCOTT.H</t>
  </si>
  <si>
    <t>CHILCOTT.M</t>
  </si>
  <si>
    <t>CLARKE.R</t>
  </si>
  <si>
    <t>CLEMENTS.C</t>
  </si>
  <si>
    <t>COE.D</t>
  </si>
  <si>
    <t>COLE.B</t>
  </si>
  <si>
    <t>COLLINS.B</t>
  </si>
  <si>
    <t>COLLINS.C</t>
  </si>
  <si>
    <t>COOK.C</t>
  </si>
  <si>
    <t>CORBETT.D</t>
  </si>
  <si>
    <t>CRAWFORD.B</t>
  </si>
  <si>
    <t>CULLEN.R</t>
  </si>
  <si>
    <t>CURE.C</t>
  </si>
  <si>
    <t>DAGLISH.L</t>
  </si>
  <si>
    <t>DAVIDSON.G</t>
  </si>
  <si>
    <t>DAVIS.J</t>
  </si>
  <si>
    <t>DAWKINS.L</t>
  </si>
  <si>
    <t>DELL.CALLAN</t>
  </si>
  <si>
    <t>DELL.CHRIS</t>
  </si>
  <si>
    <t>DELL.S</t>
  </si>
  <si>
    <t>DELL.V</t>
  </si>
  <si>
    <t>D'MONTE.J</t>
  </si>
  <si>
    <t>DOCKER.J</t>
  </si>
  <si>
    <t>DOLBY.A</t>
  </si>
  <si>
    <t>DOUCE.B</t>
  </si>
  <si>
    <t>DOUGLAS.G</t>
  </si>
  <si>
    <t>DUDLEY.B</t>
  </si>
  <si>
    <t>DUDMAN.K</t>
  </si>
  <si>
    <t>DUGGAN.P</t>
  </si>
  <si>
    <t>DUNNE.J</t>
  </si>
  <si>
    <t>EADE.R</t>
  </si>
  <si>
    <t>ELLINGS.J</t>
  </si>
  <si>
    <t>ELLIOTT.R</t>
  </si>
  <si>
    <t>ELLIS.G</t>
  </si>
  <si>
    <t>ENRIGHT.C</t>
  </si>
  <si>
    <t>ENRIGHT.M</t>
  </si>
  <si>
    <t>EVANS.K</t>
  </si>
  <si>
    <t>FAGAN.M</t>
  </si>
  <si>
    <t>FAGAN.P</t>
  </si>
  <si>
    <t>FAIRBROTHER.W</t>
  </si>
  <si>
    <t>FAWKNER.D</t>
  </si>
  <si>
    <t>FAWKNER.S</t>
  </si>
  <si>
    <t>FENNELL.A</t>
  </si>
  <si>
    <t>FENNER.J</t>
  </si>
  <si>
    <t>FIDLER.N</t>
  </si>
  <si>
    <t>FLANNERY.A</t>
  </si>
  <si>
    <t>FLITNEY.B</t>
  </si>
  <si>
    <t>FOGG.S</t>
  </si>
  <si>
    <t>FOLEY.J</t>
  </si>
  <si>
    <t>FOOTE.B</t>
  </si>
  <si>
    <t>FOSTER.G</t>
  </si>
  <si>
    <t>FRENCH.D</t>
  </si>
  <si>
    <t>FRENCH.S</t>
  </si>
  <si>
    <t>GAFFNEY.D</t>
  </si>
  <si>
    <t>GAGGIN.A</t>
  </si>
  <si>
    <t>GALE.I</t>
  </si>
  <si>
    <t>GILBERT.F</t>
  </si>
  <si>
    <t>GILLHAM.K</t>
  </si>
  <si>
    <t>GLOVER.R</t>
  </si>
  <si>
    <t>GOFRON.G</t>
  </si>
  <si>
    <t>GOODMAN.G</t>
  </si>
  <si>
    <t>GOSS.P</t>
  </si>
  <si>
    <t>GOWER.S</t>
  </si>
  <si>
    <t>GRAHAM.T</t>
  </si>
  <si>
    <t>GREEN.B</t>
  </si>
  <si>
    <t>GREEN.R</t>
  </si>
  <si>
    <t>GRETTON.J</t>
  </si>
  <si>
    <t>HALL.N</t>
  </si>
  <si>
    <t>HAMILTON.J</t>
  </si>
  <si>
    <t>HAMILTON.T</t>
  </si>
  <si>
    <t>HARDACRE.N</t>
  </si>
  <si>
    <t>HARDING.D</t>
  </si>
  <si>
    <t>HARMAN.M</t>
  </si>
  <si>
    <t>HARRISON.P</t>
  </si>
  <si>
    <t>HARVEY.H</t>
  </si>
  <si>
    <t>HAY.N</t>
  </si>
  <si>
    <t>HAYS.J</t>
  </si>
  <si>
    <t>HAYWOOD.M</t>
  </si>
  <si>
    <t>HENDERSON.R</t>
  </si>
  <si>
    <t>HENDRY.M</t>
  </si>
  <si>
    <t>HERBERT.P</t>
  </si>
  <si>
    <t>HERING.B</t>
  </si>
  <si>
    <t>HICKS.A</t>
  </si>
  <si>
    <t>HICKS.E</t>
  </si>
  <si>
    <t>HICKS.M</t>
  </si>
  <si>
    <t>HILLER.S</t>
  </si>
  <si>
    <t>HILLIER.M</t>
  </si>
  <si>
    <t>HIZARTZIDIS.B</t>
  </si>
  <si>
    <t>HIZARTZIDIS.N</t>
  </si>
  <si>
    <t>HOLLAND.J</t>
  </si>
  <si>
    <t>HOLMES.R</t>
  </si>
  <si>
    <t>HOOPER.M</t>
  </si>
  <si>
    <t>HORLEY.I</t>
  </si>
  <si>
    <t>HOUSE.L</t>
  </si>
  <si>
    <t>HOWE.D</t>
  </si>
  <si>
    <t>HUDSON.S</t>
  </si>
  <si>
    <t>HUGHES.B</t>
  </si>
  <si>
    <t>HUGHES.S</t>
  </si>
  <si>
    <t>HUME.G</t>
  </si>
  <si>
    <t>HUME.N</t>
  </si>
  <si>
    <t>HUMPHRIES.J</t>
  </si>
  <si>
    <t>HUNT.T</t>
  </si>
  <si>
    <t>INGLIS.G</t>
  </si>
  <si>
    <t>IRWIN.D</t>
  </si>
  <si>
    <t>JACKSON.G</t>
  </si>
  <si>
    <t>JACKSON.P</t>
  </si>
  <si>
    <t>JAFFRAY.C</t>
  </si>
  <si>
    <t>JAGO.A</t>
  </si>
  <si>
    <t>JOHNSON.G</t>
  </si>
  <si>
    <t>JONES. ANDREW</t>
  </si>
  <si>
    <t>JONES.A</t>
  </si>
  <si>
    <t>JONES.P</t>
  </si>
  <si>
    <t>KEENAN.T</t>
  </si>
  <si>
    <t>KELLY.B</t>
  </si>
  <si>
    <t>KELLY.D</t>
  </si>
  <si>
    <t>KELLY.M</t>
  </si>
  <si>
    <t>KELLY.P</t>
  </si>
  <si>
    <t>KENDRICK.L</t>
  </si>
  <si>
    <t>KENNA.R</t>
  </si>
  <si>
    <t>KINGSHOTT.S</t>
  </si>
  <si>
    <t>KRUSHKA.A</t>
  </si>
  <si>
    <t>LAKELAND.D</t>
  </si>
  <si>
    <t>LAMONT.B</t>
  </si>
  <si>
    <t>LAMONT.C</t>
  </si>
  <si>
    <t>LANE.T</t>
  </si>
  <si>
    <t>LANGMAID.C</t>
  </si>
  <si>
    <t>LAST.D</t>
  </si>
  <si>
    <t>LAWLER.B</t>
  </si>
  <si>
    <t>LAYCOCK.J</t>
  </si>
  <si>
    <t>LAYTON.T</t>
  </si>
  <si>
    <t>LEE.G</t>
  </si>
  <si>
    <t>LEE.J</t>
  </si>
  <si>
    <t>LEE.S</t>
  </si>
  <si>
    <t>LEWIS.I</t>
  </si>
  <si>
    <t>LILLICO.M</t>
  </si>
  <si>
    <t>LILLIE.G</t>
  </si>
  <si>
    <t>LINDSAY.C</t>
  </si>
  <si>
    <t>LLOYD.E</t>
  </si>
  <si>
    <t>LOCKWOOD.B</t>
  </si>
  <si>
    <t>LOONE.P</t>
  </si>
  <si>
    <t>LOONE.PETER</t>
  </si>
  <si>
    <t>LOVATT.S</t>
  </si>
  <si>
    <t>LOWE.D</t>
  </si>
  <si>
    <t>LUMB.K</t>
  </si>
  <si>
    <t>LYNCH.R</t>
  </si>
  <si>
    <t>LYNCH.T</t>
  </si>
  <si>
    <t>LYND.A</t>
  </si>
  <si>
    <t>LYONS.P(JNR)</t>
  </si>
  <si>
    <t>LYONS.P(SNR)</t>
  </si>
  <si>
    <t>MADELLY.J</t>
  </si>
  <si>
    <t>MAHONEY.S</t>
  </si>
  <si>
    <t>MANEY.CHRIS</t>
  </si>
  <si>
    <t>MANEY.CRAIG</t>
  </si>
  <si>
    <t>MANEY.M</t>
  </si>
  <si>
    <t>MANSFIELD.A</t>
  </si>
  <si>
    <t>MANSFIELD.S</t>
  </si>
  <si>
    <t>MARSHALL.G</t>
  </si>
  <si>
    <t>MARSHALL.L</t>
  </si>
  <si>
    <t>MARTIN.D</t>
  </si>
  <si>
    <t>MARTIN.G</t>
  </si>
  <si>
    <t>MARTIN.S</t>
  </si>
  <si>
    <t>MATTHEWS.K</t>
  </si>
  <si>
    <t>MATTHEWS.P</t>
  </si>
  <si>
    <t>MAXWELL.P</t>
  </si>
  <si>
    <t>MAXWELL.S</t>
  </si>
  <si>
    <t>MAYNE.P</t>
  </si>
  <si>
    <t>McCARTHY.K</t>
  </si>
  <si>
    <t>McCLENNAN.P</t>
  </si>
  <si>
    <t>McCONNON.A</t>
  </si>
  <si>
    <t>McCONNON.F</t>
  </si>
  <si>
    <t>McCONNON.R</t>
  </si>
  <si>
    <t>McCOY.C</t>
  </si>
  <si>
    <t>McGANN.N</t>
  </si>
  <si>
    <t>McGUIRE.T</t>
  </si>
  <si>
    <t>McGURK.C</t>
  </si>
  <si>
    <t>McKELLAR.A</t>
  </si>
  <si>
    <t>McKENDRICK.B</t>
  </si>
  <si>
    <t>McKENNA.N</t>
  </si>
  <si>
    <t>McKENZIE.J</t>
  </si>
  <si>
    <t>McNAB.M</t>
  </si>
  <si>
    <t>MEDCRAFT.G</t>
  </si>
  <si>
    <t>MERRIDEW.B</t>
  </si>
  <si>
    <t>MILBOURNE.B</t>
  </si>
  <si>
    <t>MILES.C</t>
  </si>
  <si>
    <t>MILES.G</t>
  </si>
  <si>
    <t>MILES.R</t>
  </si>
  <si>
    <t>MILTON.B</t>
  </si>
  <si>
    <t>MITCHELL.C</t>
  </si>
  <si>
    <t>MITCHELL.P</t>
  </si>
  <si>
    <t>MOORE.T</t>
  </si>
  <si>
    <t>MORRIS.B</t>
  </si>
  <si>
    <t>MORTON.G</t>
  </si>
  <si>
    <t>MULLETT.B</t>
  </si>
  <si>
    <t>MULLETT.D</t>
  </si>
  <si>
    <t>MUNTING.P</t>
  </si>
  <si>
    <t>MURFET.B</t>
  </si>
  <si>
    <t>MURFET.I</t>
  </si>
  <si>
    <t>MURRAY.B</t>
  </si>
  <si>
    <t>MURRAY.BEN</t>
  </si>
  <si>
    <t>MURRAY.J</t>
  </si>
  <si>
    <t>MURRAY.T</t>
  </si>
  <si>
    <t>NASH.L</t>
  </si>
  <si>
    <t>NICHOLSON.J</t>
  </si>
  <si>
    <t>OAKLEY.S</t>
  </si>
  <si>
    <t>O'BOYLE.N</t>
  </si>
  <si>
    <t>O'BRIEN.M</t>
  </si>
  <si>
    <t>O'HALLORAN.D</t>
  </si>
  <si>
    <t>ORDERS.A</t>
  </si>
  <si>
    <t>O'RONNEL.H</t>
  </si>
  <si>
    <t>O'SHEA.M</t>
  </si>
  <si>
    <t>OWEN.D</t>
  </si>
  <si>
    <t>OWEN.M</t>
  </si>
  <si>
    <t>OWEN.R</t>
  </si>
  <si>
    <t>PACKETT.C</t>
  </si>
  <si>
    <t>PAGE.D</t>
  </si>
  <si>
    <t>PARKER.M</t>
  </si>
  <si>
    <t>PARSISSONS.P</t>
  </si>
  <si>
    <t>PASKE.S</t>
  </si>
  <si>
    <t>PAYTON.O</t>
  </si>
  <si>
    <t>PEARCE.K</t>
  </si>
  <si>
    <t>PERRY.M</t>
  </si>
  <si>
    <t>PETERS.D</t>
  </si>
  <si>
    <t>PEVITT.L</t>
  </si>
  <si>
    <t>PHAIR.P</t>
  </si>
  <si>
    <t>PHILPOTT.D</t>
  </si>
  <si>
    <t>PIERCEY.G</t>
  </si>
  <si>
    <t>PITCHFORD.R</t>
  </si>
  <si>
    <t>PITHOUSE.J</t>
  </si>
  <si>
    <t>PREDOJEVIC.M</t>
  </si>
  <si>
    <t>PRIOR.D</t>
  </si>
  <si>
    <t>RATTRAY.D</t>
  </si>
  <si>
    <t>RAWLINGS.J</t>
  </si>
  <si>
    <t>RAWSON.C</t>
  </si>
  <si>
    <t>RAWSON.N</t>
  </si>
  <si>
    <t>RAYMOND.J</t>
  </si>
  <si>
    <t>RAYMOND.N</t>
  </si>
  <si>
    <t>REDENBACK.M</t>
  </si>
  <si>
    <t>REID.H</t>
  </si>
  <si>
    <t>REID.K</t>
  </si>
  <si>
    <t>REID.M</t>
  </si>
  <si>
    <t>REIDY.R</t>
  </si>
  <si>
    <t>RICHARDSON.B</t>
  </si>
  <si>
    <t>RILEY.B</t>
  </si>
  <si>
    <t>RIMMER.G</t>
  </si>
  <si>
    <t>ROBERTS.C</t>
  </si>
  <si>
    <t>ROBINSON.B</t>
  </si>
  <si>
    <t>ROBINSON.D</t>
  </si>
  <si>
    <t>ROBINSON.P</t>
  </si>
  <si>
    <t>ROCKLIFF.P</t>
  </si>
  <si>
    <t>RODWELL.P</t>
  </si>
  <si>
    <t>ROHAN.Z</t>
  </si>
  <si>
    <t>ROSE.D</t>
  </si>
  <si>
    <t>ROSE.M</t>
  </si>
  <si>
    <t>ROWLANDS.P</t>
  </si>
  <si>
    <t>RUFFLES.B</t>
  </si>
  <si>
    <t>RUNDLE.M</t>
  </si>
  <si>
    <t>RUNDLE.T</t>
  </si>
  <si>
    <t>RYAN.D</t>
  </si>
  <si>
    <t>RYAN.T</t>
  </si>
  <si>
    <t>SABALLUS.A</t>
  </si>
  <si>
    <t>SALES.J</t>
  </si>
  <si>
    <t>SCULLY.B</t>
  </si>
  <si>
    <t>SEARLE.B</t>
  </si>
  <si>
    <t>SELLARS.J</t>
  </si>
  <si>
    <t>SHAW.J</t>
  </si>
  <si>
    <t>SHEARER.S</t>
  </si>
  <si>
    <t>SHEEAN.B</t>
  </si>
  <si>
    <t>SHEEHAN.M</t>
  </si>
  <si>
    <t>SHERRIFF.P</t>
  </si>
  <si>
    <t>SHERRIFF.R</t>
  </si>
  <si>
    <t>SILLETT.R</t>
  </si>
  <si>
    <t>SIMONDS.D</t>
  </si>
  <si>
    <t>SIMONDS.K</t>
  </si>
  <si>
    <t>SIMS.W</t>
  </si>
  <si>
    <t>SMITH.C</t>
  </si>
  <si>
    <t>SMITH.G</t>
  </si>
  <si>
    <t>SMITH.J</t>
  </si>
  <si>
    <t>SNELL.T</t>
  </si>
  <si>
    <t>SNOWDEN.T</t>
  </si>
  <si>
    <t>SPINKS.D</t>
  </si>
  <si>
    <t>SQUIBB.D</t>
  </si>
  <si>
    <t>SQUIBB.N</t>
  </si>
  <si>
    <t>SQUIBB.W</t>
  </si>
  <si>
    <t>STEVEN.M</t>
  </si>
  <si>
    <t>STEWART.D</t>
  </si>
  <si>
    <t>STEWART.J</t>
  </si>
  <si>
    <t>STEWART.W</t>
  </si>
  <si>
    <t>STONE.C</t>
  </si>
  <si>
    <t>STOTT.H</t>
  </si>
  <si>
    <t>STOW.P</t>
  </si>
  <si>
    <t>TARGETT.R</t>
  </si>
  <si>
    <t>TAYLOR.D</t>
  </si>
  <si>
    <t>TEMPLE SMITH.W</t>
  </si>
  <si>
    <t>THOMPSON.A</t>
  </si>
  <si>
    <t>THOMPSON.J</t>
  </si>
  <si>
    <t>TOOTH.G</t>
  </si>
  <si>
    <t>TUEON.D</t>
  </si>
  <si>
    <t>TUTHILL.S</t>
  </si>
  <si>
    <t>TYRELL.D</t>
  </si>
  <si>
    <t>UNDERWOOD.T</t>
  </si>
  <si>
    <t>UPTON.P</t>
  </si>
  <si>
    <t>VAN NEUTEGEM.C</t>
  </si>
  <si>
    <t>VLASICH.A</t>
  </si>
  <si>
    <t>VONSCHILL.D</t>
  </si>
  <si>
    <t>VONSTIEGLITZ.D</t>
  </si>
  <si>
    <t>VONSTIEGLITZ.S</t>
  </si>
  <si>
    <t>WAGNER.M</t>
  </si>
  <si>
    <t>WALSH.D</t>
  </si>
  <si>
    <t>WALSH.DAMIAN</t>
  </si>
  <si>
    <t>WALSH.K</t>
  </si>
  <si>
    <t>WALSH.M</t>
  </si>
  <si>
    <t>WALSHE.A</t>
  </si>
  <si>
    <t>WARREN.S</t>
  </si>
  <si>
    <t>WEBB.D</t>
  </si>
  <si>
    <t>WEBB.T</t>
  </si>
  <si>
    <t>WEBSTER.J</t>
  </si>
  <si>
    <t>WEEKS.D</t>
  </si>
  <si>
    <t>WELSH.H</t>
  </si>
  <si>
    <t>WEST.B</t>
  </si>
  <si>
    <t>WEST.G</t>
  </si>
  <si>
    <t>WICKHAM.A</t>
  </si>
  <si>
    <t>WICKHAM.D</t>
  </si>
  <si>
    <t>WIGGERS.J</t>
  </si>
  <si>
    <t>WILKINSON.N</t>
  </si>
  <si>
    <t>WILKINSON.R</t>
  </si>
  <si>
    <t>WILKINSON.T</t>
  </si>
  <si>
    <t>WILL.B</t>
  </si>
  <si>
    <t>WILL.D</t>
  </si>
  <si>
    <t>WILLIAMS.M</t>
  </si>
  <si>
    <t>WILLIAMS.T</t>
  </si>
  <si>
    <t>WINTER.G</t>
  </si>
  <si>
    <t>WINTER.S</t>
  </si>
  <si>
    <t>WISH-WILSON.R</t>
  </si>
  <si>
    <t>WOODBERRY.M</t>
  </si>
  <si>
    <t>WOOLEY.G</t>
  </si>
  <si>
    <t>WOOLLEY ANDREW</t>
  </si>
  <si>
    <t>WOOLLEY AYRTON</t>
  </si>
  <si>
    <t>WORKMAN.H</t>
  </si>
  <si>
    <t>MAZUREK.S</t>
  </si>
  <si>
    <t>PARKER S</t>
  </si>
  <si>
    <t>SAGGERS J</t>
  </si>
  <si>
    <t>EVERARD L.</t>
  </si>
  <si>
    <t>KEYGAN.K</t>
  </si>
  <si>
    <t>NEUBACHER.B</t>
  </si>
  <si>
    <t>HODGETTS.W</t>
  </si>
  <si>
    <t>MARSHALL.J</t>
  </si>
  <si>
    <t>HOGARTH .G</t>
  </si>
  <si>
    <t>PHILPOTT.S</t>
  </si>
  <si>
    <t>DELL.T</t>
  </si>
  <si>
    <t>Innings means completed innings (i.e. total innings less N.O's)</t>
  </si>
  <si>
    <t>BROWN.T</t>
  </si>
  <si>
    <t>DRAKE.J</t>
  </si>
  <si>
    <t>HAYWOOD.A</t>
  </si>
  <si>
    <t>GRIFFITHS.P</t>
  </si>
  <si>
    <t>MURRAY.BLAIR</t>
  </si>
  <si>
    <t>KIRKWOOD.W</t>
  </si>
  <si>
    <t>BROWN.C</t>
  </si>
  <si>
    <t>HICKS.K</t>
  </si>
  <si>
    <t>ROBINSON.O</t>
  </si>
  <si>
    <t>SHEEAN.E</t>
  </si>
  <si>
    <t>MILNE.J</t>
  </si>
  <si>
    <t>PLUNKETT.S</t>
  </si>
  <si>
    <t>KOCH.L</t>
  </si>
  <si>
    <t>COWLARD.R</t>
  </si>
  <si>
    <t>MOORE.B</t>
  </si>
  <si>
    <t>McCHRISTIE.A</t>
  </si>
  <si>
    <t>MANKTELOW.J</t>
  </si>
  <si>
    <t>BUCKNELL.B</t>
  </si>
  <si>
    <t>FRENCH.R</t>
  </si>
  <si>
    <t>DARGAVEL.K</t>
  </si>
  <si>
    <t>JOHNSON.Mi</t>
  </si>
  <si>
    <t>JOHNSON.Ma</t>
  </si>
  <si>
    <t>FORD.D</t>
  </si>
  <si>
    <t>POOLE.C</t>
  </si>
  <si>
    <t>ROBINSON.S</t>
  </si>
  <si>
    <t>RADHAKRISHNAN.S</t>
  </si>
  <si>
    <t>GOLDSWORTHY.O</t>
  </si>
  <si>
    <t>BROWN.J</t>
  </si>
  <si>
    <t>MOORE.C</t>
  </si>
  <si>
    <t>LANDER.J</t>
  </si>
  <si>
    <t>WYNWOOD.K</t>
  </si>
  <si>
    <t>SMITH.M</t>
  </si>
  <si>
    <t>DENMAN.C</t>
  </si>
  <si>
    <t xml:space="preserve"> </t>
  </si>
  <si>
    <t>TENAGLIA.B</t>
  </si>
  <si>
    <t>JAGO.ADAM</t>
  </si>
  <si>
    <t>O'MAHONY.S</t>
  </si>
  <si>
    <t>MATTHEWSON.N</t>
  </si>
  <si>
    <t>THORNE.D</t>
  </si>
  <si>
    <t>AIKMAN.J</t>
  </si>
  <si>
    <t>BADCOCK.L</t>
  </si>
  <si>
    <t>POWELL.S</t>
  </si>
  <si>
    <t>NADEEM.U</t>
  </si>
  <si>
    <t>McGUANE.J</t>
  </si>
  <si>
    <t>O'MAHONY.D</t>
  </si>
  <si>
    <t>CLARK.J</t>
  </si>
  <si>
    <t>ALBIN.D</t>
  </si>
  <si>
    <t>McCONNON.J</t>
  </si>
  <si>
    <t>BESWICK.O</t>
  </si>
  <si>
    <t>DAVIES.H</t>
  </si>
  <si>
    <t>BELLCHAMBERS.T</t>
  </si>
  <si>
    <t>FORBES.A</t>
  </si>
  <si>
    <t>DERRICO.Z</t>
  </si>
  <si>
    <t>KHAN.M</t>
  </si>
  <si>
    <t>KABLE.H</t>
  </si>
  <si>
    <t>HENSHAW.F</t>
  </si>
  <si>
    <t>COWAN.L</t>
  </si>
  <si>
    <t>ATKINS.W</t>
  </si>
  <si>
    <t>BRIGGS.Z</t>
  </si>
  <si>
    <t>YOUNG.S</t>
  </si>
  <si>
    <t>DAVIES.J</t>
  </si>
  <si>
    <t>WATTS.J</t>
  </si>
  <si>
    <t>STEVEN.T</t>
  </si>
  <si>
    <t>ABEYRATHNA.H</t>
  </si>
  <si>
    <t>GREWAL.S</t>
  </si>
  <si>
    <t>SINGH.K</t>
  </si>
  <si>
    <t>DEVERELL.K</t>
  </si>
  <si>
    <t>PHILPOTT.B</t>
  </si>
  <si>
    <t>HOWARD.K</t>
  </si>
  <si>
    <t>McCONNON.L</t>
  </si>
  <si>
    <t>BOWDEN.JOEL</t>
  </si>
  <si>
    <t>BURBURY.O</t>
  </si>
  <si>
    <t>GREWAL.J</t>
  </si>
  <si>
    <t>IDIRIMANNA.T</t>
  </si>
  <si>
    <t>SINGH.G</t>
  </si>
  <si>
    <t>WEBSTER.Z</t>
  </si>
  <si>
    <t>AMRAT.S</t>
  </si>
  <si>
    <t>KARUNARATNE.M</t>
  </si>
  <si>
    <t>BROOMHALL.J</t>
  </si>
  <si>
    <t>GLOVER.J</t>
  </si>
  <si>
    <t>AHMED.S</t>
  </si>
  <si>
    <t>FULTON.Pa</t>
  </si>
  <si>
    <t>FULTON Pe.</t>
  </si>
  <si>
    <t>CASTLES.C</t>
  </si>
  <si>
    <t>DOHERTY.J</t>
  </si>
  <si>
    <t>PATEL.P</t>
  </si>
  <si>
    <t>HARRIS.J</t>
  </si>
  <si>
    <t>ALEXANDER.R</t>
  </si>
  <si>
    <t>IMTIYAZ.A</t>
  </si>
  <si>
    <t>ARORA.B</t>
  </si>
  <si>
    <t>CHUGH.P</t>
  </si>
  <si>
    <t>SINGH.J</t>
  </si>
  <si>
    <t>WRIGLEY.D</t>
  </si>
  <si>
    <t>HATHWELLA.T</t>
  </si>
  <si>
    <t>WARD.B</t>
  </si>
  <si>
    <t>FRENCH.L</t>
  </si>
  <si>
    <t>GLOVER.Ri</t>
  </si>
  <si>
    <t>ACHAR.A</t>
  </si>
  <si>
    <t>WILSON.K</t>
  </si>
  <si>
    <t>DAVIS.N</t>
  </si>
  <si>
    <t>CASEY.C</t>
  </si>
  <si>
    <t>HOLLINGSWORTH.T</t>
  </si>
  <si>
    <t>GUARD.S</t>
  </si>
  <si>
    <t>HOLLINGSWORTH.M</t>
  </si>
  <si>
    <t>IAGO.G</t>
  </si>
  <si>
    <t>REID.L</t>
  </si>
  <si>
    <t>BAMFORD.B</t>
  </si>
  <si>
    <t>2nd Grade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</si>
</sst>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0"/>
      <color indexed="48"/>
      <name val="Arial"/>
      <family val="2"/>
    </font>
    <font>
      <sz val="10"/>
      <color indexed="48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rgb="FF00B050"/>
      <name val="Arial"/>
      <family val="2"/>
    </font>
    <font>
      <b/>
      <i/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1" fillId="0" borderId="1" xfId="0" applyFont="1" applyBorder="1"/>
    <xf numFmtId="0" fontId="8" fillId="0" borderId="1" xfId="0" applyFont="1" applyBorder="1"/>
    <xf numFmtId="2" fontId="8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/>
    <xf numFmtId="0" fontId="10" fillId="0" borderId="0" xfId="0" applyFont="1"/>
    <xf numFmtId="0" fontId="2" fillId="0" borderId="1" xfId="0" applyFont="1" applyBorder="1"/>
    <xf numFmtId="2" fontId="1" fillId="0" borderId="1" xfId="0" applyNumberFormat="1" applyFont="1" applyBorder="1"/>
    <xf numFmtId="0" fontId="11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2" fontId="12" fillId="0" borderId="1" xfId="0" applyNumberFormat="1" applyFont="1" applyBorder="1"/>
    <xf numFmtId="0" fontId="7" fillId="0" borderId="1" xfId="0" applyFont="1" applyBorder="1"/>
    <xf numFmtId="0" fontId="1" fillId="0" borderId="0" xfId="0" applyFont="1"/>
    <xf numFmtId="0" fontId="8" fillId="0" borderId="0" xfId="0" applyFont="1"/>
    <xf numFmtId="0" fontId="8" fillId="0" borderId="2" xfId="0" applyFont="1" applyBorder="1"/>
    <xf numFmtId="2" fontId="8" fillId="0" borderId="0" xfId="0" applyNumberFormat="1" applyFont="1"/>
    <xf numFmtId="0" fontId="9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5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09375" defaultRowHeight="13.8" x14ac:dyDescent="0.3"/>
  <cols>
    <col min="1" max="1" width="19.44140625" style="3" customWidth="1"/>
    <col min="2" max="3" width="9.109375" style="3"/>
    <col min="4" max="4" width="10" style="3" bestFit="1" customWidth="1"/>
    <col min="5" max="16384" width="9.109375" style="3"/>
  </cols>
  <sheetData>
    <row r="1" spans="1:9" x14ac:dyDescent="0.3">
      <c r="A1" s="1" t="s">
        <v>528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1</v>
      </c>
      <c r="G1" s="2" t="s">
        <v>2</v>
      </c>
      <c r="H1" s="2" t="s">
        <v>4</v>
      </c>
      <c r="I1" s="2" t="s">
        <v>5</v>
      </c>
    </row>
    <row r="2" spans="1:9" s="9" customFormat="1" x14ac:dyDescent="0.3">
      <c r="A2" s="7" t="s">
        <v>484</v>
      </c>
      <c r="B2" s="22">
        <f>9+2</f>
        <v>11</v>
      </c>
      <c r="C2" s="22">
        <f>243+88</f>
        <v>331</v>
      </c>
      <c r="D2" s="8">
        <f t="shared" ref="D2:D25" si="0">IF(B2=0,0,C2/B2)</f>
        <v>30.09090909090909</v>
      </c>
      <c r="E2" s="22">
        <f>1+5+0</f>
        <v>6</v>
      </c>
      <c r="F2" s="22">
        <f>11+235+4</f>
        <v>250</v>
      </c>
      <c r="G2" s="8">
        <f t="shared" ref="G2:G12" si="1">IF(E2=0,0,F2/E2)</f>
        <v>41.666666666666664</v>
      </c>
      <c r="H2" s="22">
        <f>5</f>
        <v>5</v>
      </c>
      <c r="I2" s="22"/>
    </row>
    <row r="3" spans="1:9" x14ac:dyDescent="0.3">
      <c r="A3" s="4" t="s">
        <v>6</v>
      </c>
      <c r="B3" s="5">
        <v>25</v>
      </c>
      <c r="C3" s="5">
        <v>344</v>
      </c>
      <c r="D3" s="6">
        <f t="shared" si="0"/>
        <v>13.76</v>
      </c>
      <c r="E3" s="5">
        <v>58</v>
      </c>
      <c r="F3" s="5">
        <v>1057</v>
      </c>
      <c r="G3" s="6">
        <f t="shared" si="1"/>
        <v>18.224137931034484</v>
      </c>
      <c r="H3" s="5">
        <v>17</v>
      </c>
      <c r="I3" s="5"/>
    </row>
    <row r="4" spans="1:9" s="9" customFormat="1" x14ac:dyDescent="0.3">
      <c r="A4" s="7" t="s">
        <v>518</v>
      </c>
      <c r="B4" s="7">
        <v>0</v>
      </c>
      <c r="C4" s="7">
        <f>0</f>
        <v>0</v>
      </c>
      <c r="D4" s="8"/>
      <c r="E4" s="7">
        <f>1</f>
        <v>1</v>
      </c>
      <c r="F4" s="7">
        <f>0</f>
        <v>0</v>
      </c>
      <c r="G4" s="8">
        <f t="shared" si="1"/>
        <v>0</v>
      </c>
      <c r="H4" s="7"/>
      <c r="I4" s="7"/>
    </row>
    <row r="5" spans="1:9" s="12" customFormat="1" x14ac:dyDescent="0.3">
      <c r="A5" s="4" t="s">
        <v>501</v>
      </c>
      <c r="B5" s="4">
        <f>1</f>
        <v>1</v>
      </c>
      <c r="C5" s="4">
        <f>11</f>
        <v>11</v>
      </c>
      <c r="D5" s="11">
        <f t="shared" si="0"/>
        <v>11</v>
      </c>
      <c r="E5" s="4">
        <f>2</f>
        <v>2</v>
      </c>
      <c r="F5" s="4">
        <f>12</f>
        <v>12</v>
      </c>
      <c r="G5" s="11">
        <f t="shared" si="1"/>
        <v>6</v>
      </c>
      <c r="H5" s="4"/>
      <c r="I5" s="4"/>
    </row>
    <row r="6" spans="1:9" s="12" customFormat="1" x14ac:dyDescent="0.3">
      <c r="A6" s="4" t="s">
        <v>460</v>
      </c>
      <c r="B6" s="4">
        <f>9+9</f>
        <v>18</v>
      </c>
      <c r="C6" s="4">
        <f>132+228</f>
        <v>360</v>
      </c>
      <c r="D6" s="11">
        <f t="shared" si="0"/>
        <v>20</v>
      </c>
      <c r="E6" s="4">
        <v>0</v>
      </c>
      <c r="F6" s="4">
        <f>48+28</f>
        <v>76</v>
      </c>
      <c r="G6" s="11">
        <f t="shared" si="1"/>
        <v>0</v>
      </c>
      <c r="H6" s="4">
        <f>9+2</f>
        <v>11</v>
      </c>
      <c r="I6" s="4"/>
    </row>
    <row r="7" spans="1:9" s="12" customFormat="1" x14ac:dyDescent="0.3">
      <c r="A7" s="4" t="s">
        <v>467</v>
      </c>
      <c r="B7" s="4">
        <f>1+3</f>
        <v>4</v>
      </c>
      <c r="C7" s="4">
        <f>9+0</f>
        <v>9</v>
      </c>
      <c r="D7" s="11">
        <f t="shared" si="0"/>
        <v>2.25</v>
      </c>
      <c r="E7" s="4">
        <f>0+5</f>
        <v>5</v>
      </c>
      <c r="F7" s="4">
        <f>10+64</f>
        <v>74</v>
      </c>
      <c r="G7" s="11">
        <f t="shared" si="1"/>
        <v>14.8</v>
      </c>
      <c r="H7" s="4">
        <f>1+2</f>
        <v>3</v>
      </c>
      <c r="I7" s="4"/>
    </row>
    <row r="8" spans="1:9" x14ac:dyDescent="0.3">
      <c r="A8" s="4" t="s">
        <v>7</v>
      </c>
      <c r="B8" s="5">
        <v>1</v>
      </c>
      <c r="C8" s="5">
        <v>8</v>
      </c>
      <c r="D8" s="6">
        <f t="shared" si="0"/>
        <v>8</v>
      </c>
      <c r="E8" s="5"/>
      <c r="F8" s="5"/>
      <c r="G8" s="6">
        <f t="shared" si="1"/>
        <v>0</v>
      </c>
      <c r="H8" s="5"/>
      <c r="I8" s="5"/>
    </row>
    <row r="9" spans="1:9" x14ac:dyDescent="0.3">
      <c r="A9" s="4" t="s">
        <v>8</v>
      </c>
      <c r="B9" s="5">
        <v>103</v>
      </c>
      <c r="C9" s="5">
        <v>1008</v>
      </c>
      <c r="D9" s="6">
        <f t="shared" si="0"/>
        <v>9.7864077669902905</v>
      </c>
      <c r="E9" s="5">
        <v>396</v>
      </c>
      <c r="F9" s="5">
        <v>4434</v>
      </c>
      <c r="G9" s="6">
        <f t="shared" si="1"/>
        <v>11.196969696969697</v>
      </c>
      <c r="H9" s="5">
        <v>31</v>
      </c>
      <c r="I9" s="5"/>
    </row>
    <row r="10" spans="1:9" x14ac:dyDescent="0.3">
      <c r="A10" s="4" t="s">
        <v>9</v>
      </c>
      <c r="B10" s="5">
        <v>2</v>
      </c>
      <c r="C10" s="5">
        <v>5</v>
      </c>
      <c r="D10" s="6">
        <f t="shared" si="0"/>
        <v>2.5</v>
      </c>
      <c r="E10" s="5"/>
      <c r="F10" s="5"/>
      <c r="G10" s="6">
        <f t="shared" si="1"/>
        <v>0</v>
      </c>
      <c r="H10" s="5"/>
      <c r="I10" s="5"/>
    </row>
    <row r="11" spans="1:9" x14ac:dyDescent="0.3">
      <c r="A11" s="4" t="s">
        <v>10</v>
      </c>
      <c r="B11" s="5">
        <v>5</v>
      </c>
      <c r="C11" s="5">
        <v>34</v>
      </c>
      <c r="D11" s="6">
        <f t="shared" si="0"/>
        <v>6.8</v>
      </c>
      <c r="E11" s="5"/>
      <c r="F11" s="5"/>
      <c r="G11" s="6">
        <f t="shared" si="1"/>
        <v>0</v>
      </c>
      <c r="H11" s="5">
        <v>4</v>
      </c>
      <c r="I11" s="5"/>
    </row>
    <row r="12" spans="1:9" x14ac:dyDescent="0.3">
      <c r="A12" s="4" t="s">
        <v>11</v>
      </c>
      <c r="B12" s="5">
        <v>8</v>
      </c>
      <c r="C12" s="5">
        <v>9</v>
      </c>
      <c r="D12" s="6">
        <f t="shared" si="0"/>
        <v>1.125</v>
      </c>
      <c r="E12" s="5">
        <v>23</v>
      </c>
      <c r="F12" s="5">
        <v>331</v>
      </c>
      <c r="G12" s="6">
        <f t="shared" si="1"/>
        <v>14.391304347826088</v>
      </c>
      <c r="H12" s="5"/>
      <c r="I12" s="5"/>
    </row>
    <row r="13" spans="1:9" s="12" customFormat="1" x14ac:dyDescent="0.3">
      <c r="A13" s="4" t="s">
        <v>508</v>
      </c>
      <c r="B13" s="4">
        <f>1</f>
        <v>1</v>
      </c>
      <c r="C13" s="4">
        <f>28</f>
        <v>28</v>
      </c>
      <c r="D13" s="11">
        <f t="shared" si="0"/>
        <v>28</v>
      </c>
      <c r="E13" s="4"/>
      <c r="F13" s="4"/>
      <c r="G13" s="11"/>
      <c r="H13" s="4"/>
      <c r="I13" s="4"/>
    </row>
    <row r="14" spans="1:9" x14ac:dyDescent="0.3">
      <c r="A14" s="4" t="s">
        <v>12</v>
      </c>
      <c r="B14" s="4">
        <f>2</f>
        <v>2</v>
      </c>
      <c r="C14" s="4">
        <f>41</f>
        <v>41</v>
      </c>
      <c r="D14" s="6">
        <f t="shared" si="0"/>
        <v>20.5</v>
      </c>
      <c r="E14" s="4">
        <f>1</f>
        <v>1</v>
      </c>
      <c r="F14" s="4">
        <f>8</f>
        <v>8</v>
      </c>
      <c r="G14" s="6">
        <f>IF(E14=0,0,F14/E14)</f>
        <v>8</v>
      </c>
      <c r="H14" s="4">
        <v>0</v>
      </c>
      <c r="I14" s="4"/>
    </row>
    <row r="15" spans="1:9" s="12" customFormat="1" x14ac:dyDescent="0.3">
      <c r="A15" s="4" t="s">
        <v>497</v>
      </c>
      <c r="B15" s="4">
        <f>1</f>
        <v>1</v>
      </c>
      <c r="C15" s="4">
        <f>13</f>
        <v>13</v>
      </c>
      <c r="D15" s="11">
        <f t="shared" si="0"/>
        <v>13</v>
      </c>
      <c r="E15" s="4"/>
      <c r="F15" s="4"/>
      <c r="G15" s="11"/>
      <c r="H15" s="4"/>
      <c r="I15" s="4"/>
    </row>
    <row r="16" spans="1:9" x14ac:dyDescent="0.3">
      <c r="A16" s="4" t="s">
        <v>13</v>
      </c>
      <c r="B16" s="5">
        <v>63</v>
      </c>
      <c r="C16" s="5">
        <v>1502</v>
      </c>
      <c r="D16" s="6">
        <f t="shared" si="0"/>
        <v>23.841269841269842</v>
      </c>
      <c r="E16" s="5">
        <v>46</v>
      </c>
      <c r="F16" s="5">
        <v>1007</v>
      </c>
      <c r="G16" s="6">
        <f t="shared" ref="G16:G21" si="2">IF(E16=0,0,F16/E16)</f>
        <v>21.891304347826086</v>
      </c>
      <c r="H16" s="5">
        <v>18</v>
      </c>
      <c r="I16" s="5"/>
    </row>
    <row r="17" spans="1:9" x14ac:dyDescent="0.3">
      <c r="A17" s="4" t="s">
        <v>14</v>
      </c>
      <c r="B17" s="5"/>
      <c r="C17" s="5"/>
      <c r="D17" s="6">
        <f t="shared" si="0"/>
        <v>0</v>
      </c>
      <c r="E17" s="5"/>
      <c r="F17" s="5"/>
      <c r="G17" s="6">
        <f t="shared" si="2"/>
        <v>0</v>
      </c>
      <c r="H17" s="5">
        <v>1</v>
      </c>
      <c r="I17" s="5"/>
    </row>
    <row r="18" spans="1:9" x14ac:dyDescent="0.3">
      <c r="A18" s="4" t="s">
        <v>15</v>
      </c>
      <c r="B18" s="4">
        <f>22+3</f>
        <v>25</v>
      </c>
      <c r="C18" s="4">
        <f>384+170</f>
        <v>554</v>
      </c>
      <c r="D18" s="6">
        <f t="shared" si="0"/>
        <v>22.16</v>
      </c>
      <c r="E18" s="4">
        <v>3</v>
      </c>
      <c r="F18" s="4">
        <f>41+4</f>
        <v>45</v>
      </c>
      <c r="G18" s="6">
        <f t="shared" si="2"/>
        <v>15</v>
      </c>
      <c r="H18" s="4">
        <v>8</v>
      </c>
      <c r="I18" s="10"/>
    </row>
    <row r="19" spans="1:9" x14ac:dyDescent="0.3">
      <c r="A19" s="4" t="s">
        <v>16</v>
      </c>
      <c r="B19" s="5">
        <v>28</v>
      </c>
      <c r="C19" s="5">
        <v>962</v>
      </c>
      <c r="D19" s="6">
        <f t="shared" si="0"/>
        <v>34.357142857142854</v>
      </c>
      <c r="E19" s="5">
        <v>12</v>
      </c>
      <c r="F19" s="5">
        <v>92</v>
      </c>
      <c r="G19" s="6">
        <f t="shared" si="2"/>
        <v>7.666666666666667</v>
      </c>
      <c r="H19" s="5">
        <v>14</v>
      </c>
      <c r="I19" s="5"/>
    </row>
    <row r="20" spans="1:9" x14ac:dyDescent="0.3">
      <c r="A20" s="4" t="s">
        <v>17</v>
      </c>
      <c r="B20" s="5">
        <f>22+1</f>
        <v>23</v>
      </c>
      <c r="C20" s="5">
        <v>459</v>
      </c>
      <c r="D20" s="6">
        <f t="shared" si="0"/>
        <v>19.956521739130434</v>
      </c>
      <c r="E20" s="5">
        <v>3</v>
      </c>
      <c r="F20" s="5">
        <v>111</v>
      </c>
      <c r="G20" s="6">
        <f t="shared" si="2"/>
        <v>37</v>
      </c>
      <c r="H20" s="5">
        <v>14</v>
      </c>
      <c r="I20" s="5"/>
    </row>
    <row r="21" spans="1:9" x14ac:dyDescent="0.3">
      <c r="A21" s="4" t="s">
        <v>18</v>
      </c>
      <c r="B21" s="5">
        <v>3</v>
      </c>
      <c r="C21" s="5">
        <v>3</v>
      </c>
      <c r="D21" s="6">
        <f t="shared" si="0"/>
        <v>1</v>
      </c>
      <c r="E21" s="5"/>
      <c r="F21" s="5"/>
      <c r="G21" s="6">
        <f t="shared" si="2"/>
        <v>0</v>
      </c>
      <c r="H21" s="5">
        <v>1</v>
      </c>
      <c r="I21" s="5"/>
    </row>
    <row r="22" spans="1:9" s="12" customFormat="1" x14ac:dyDescent="0.3">
      <c r="A22" s="4" t="s">
        <v>510</v>
      </c>
      <c r="B22" s="4">
        <f>2</f>
        <v>2</v>
      </c>
      <c r="C22" s="4">
        <f>5</f>
        <v>5</v>
      </c>
      <c r="D22" s="11">
        <f t="shared" si="0"/>
        <v>2.5</v>
      </c>
      <c r="E22" s="4"/>
      <c r="F22" s="4"/>
      <c r="G22" s="11"/>
      <c r="H22" s="4">
        <f>2</f>
        <v>2</v>
      </c>
      <c r="I22" s="4"/>
    </row>
    <row r="23" spans="1:9" x14ac:dyDescent="0.3">
      <c r="A23" s="4" t="s">
        <v>19</v>
      </c>
      <c r="B23" s="5">
        <v>22</v>
      </c>
      <c r="C23" s="5">
        <v>226</v>
      </c>
      <c r="D23" s="6">
        <f t="shared" si="0"/>
        <v>10.272727272727273</v>
      </c>
      <c r="E23" s="5"/>
      <c r="F23" s="5"/>
      <c r="G23" s="6">
        <f>IF(E23=0,0,F23/E23)</f>
        <v>0</v>
      </c>
      <c r="H23" s="5">
        <v>15</v>
      </c>
      <c r="I23" s="5"/>
    </row>
    <row r="24" spans="1:9" x14ac:dyDescent="0.3">
      <c r="A24" s="4" t="s">
        <v>20</v>
      </c>
      <c r="B24" s="5">
        <v>2</v>
      </c>
      <c r="C24" s="5">
        <v>33</v>
      </c>
      <c r="D24" s="6">
        <f t="shared" si="0"/>
        <v>16.5</v>
      </c>
      <c r="E24" s="5">
        <v>2</v>
      </c>
      <c r="F24" s="5">
        <v>62</v>
      </c>
      <c r="G24" s="6">
        <f>IF(E24=0,0,F24/E24)</f>
        <v>31</v>
      </c>
      <c r="H24" s="5"/>
      <c r="I24" s="5"/>
    </row>
    <row r="25" spans="1:9" x14ac:dyDescent="0.3">
      <c r="A25" s="4" t="s">
        <v>21</v>
      </c>
      <c r="B25" s="5">
        <v>23</v>
      </c>
      <c r="C25" s="5">
        <v>424</v>
      </c>
      <c r="D25" s="6">
        <f t="shared" si="0"/>
        <v>18.434782608695652</v>
      </c>
      <c r="E25" s="5"/>
      <c r="F25" s="5"/>
      <c r="G25" s="6">
        <f>IF(E25=0,0,F25/E25)</f>
        <v>0</v>
      </c>
      <c r="H25" s="5">
        <v>10</v>
      </c>
      <c r="I25" s="5"/>
    </row>
    <row r="26" spans="1:9" s="12" customFormat="1" x14ac:dyDescent="0.3">
      <c r="A26" s="4" t="s">
        <v>478</v>
      </c>
      <c r="B26" s="4"/>
      <c r="C26" s="4"/>
      <c r="D26" s="11"/>
      <c r="E26" s="4"/>
      <c r="F26" s="4"/>
      <c r="G26" s="11"/>
      <c r="H26" s="4"/>
      <c r="I26" s="4"/>
    </row>
    <row r="27" spans="1:9" x14ac:dyDescent="0.3">
      <c r="A27" s="4" t="s">
        <v>22</v>
      </c>
      <c r="B27" s="5">
        <v>56</v>
      </c>
      <c r="C27" s="5">
        <v>855</v>
      </c>
      <c r="D27" s="6">
        <f t="shared" ref="D27:D62" si="3">IF(B27=0,0,C27/B27)</f>
        <v>15.267857142857142</v>
      </c>
      <c r="E27" s="5">
        <v>113</v>
      </c>
      <c r="F27" s="5">
        <v>2131</v>
      </c>
      <c r="G27" s="6">
        <f t="shared" ref="G27:G45" si="4">IF(E27=0,0,F27/E27)</f>
        <v>18.858407079646017</v>
      </c>
      <c r="H27" s="5">
        <v>17</v>
      </c>
      <c r="I27" s="5"/>
    </row>
    <row r="28" spans="1:9" s="12" customFormat="1" x14ac:dyDescent="0.3">
      <c r="A28" s="4" t="s">
        <v>461</v>
      </c>
      <c r="B28" s="4">
        <f>1+8+1+4</f>
        <v>14</v>
      </c>
      <c r="C28" s="4">
        <f>7+90+2+56</f>
        <v>155</v>
      </c>
      <c r="D28" s="11">
        <f t="shared" si="3"/>
        <v>11.071428571428571</v>
      </c>
      <c r="E28" s="4">
        <f>8+1+11</f>
        <v>20</v>
      </c>
      <c r="F28" s="4">
        <f>112+44+222+29</f>
        <v>407</v>
      </c>
      <c r="G28" s="11">
        <f t="shared" si="4"/>
        <v>20.350000000000001</v>
      </c>
      <c r="H28" s="4">
        <f>1+7+3</f>
        <v>11</v>
      </c>
      <c r="I28" s="4"/>
    </row>
    <row r="29" spans="1:9" x14ac:dyDescent="0.3">
      <c r="A29" s="4" t="s">
        <v>23</v>
      </c>
      <c r="B29" s="5">
        <v>4</v>
      </c>
      <c r="C29" s="5">
        <v>14</v>
      </c>
      <c r="D29" s="6">
        <f t="shared" si="3"/>
        <v>3.5</v>
      </c>
      <c r="E29" s="5">
        <v>10</v>
      </c>
      <c r="F29" s="5">
        <v>219</v>
      </c>
      <c r="G29" s="6">
        <f t="shared" si="4"/>
        <v>21.9</v>
      </c>
      <c r="H29" s="5">
        <v>2</v>
      </c>
      <c r="I29" s="5"/>
    </row>
    <row r="30" spans="1:9" x14ac:dyDescent="0.3">
      <c r="A30" s="4" t="s">
        <v>24</v>
      </c>
      <c r="B30" s="5">
        <v>36</v>
      </c>
      <c r="C30" s="5">
        <v>582</v>
      </c>
      <c r="D30" s="6">
        <f t="shared" si="3"/>
        <v>16.166666666666668</v>
      </c>
      <c r="E30" s="5"/>
      <c r="F30" s="5"/>
      <c r="G30" s="6">
        <f t="shared" si="4"/>
        <v>0</v>
      </c>
      <c r="H30" s="5">
        <v>8</v>
      </c>
      <c r="I30" s="5"/>
    </row>
    <row r="31" spans="1:9" x14ac:dyDescent="0.3">
      <c r="A31" s="4" t="s">
        <v>25</v>
      </c>
      <c r="B31" s="5">
        <v>10</v>
      </c>
      <c r="C31" s="5">
        <v>151</v>
      </c>
      <c r="D31" s="6">
        <f t="shared" si="3"/>
        <v>15.1</v>
      </c>
      <c r="E31" s="5"/>
      <c r="F31" s="5"/>
      <c r="G31" s="6">
        <f t="shared" si="4"/>
        <v>0</v>
      </c>
      <c r="H31" s="5">
        <v>5</v>
      </c>
      <c r="I31" s="5"/>
    </row>
    <row r="32" spans="1:9" x14ac:dyDescent="0.3">
      <c r="A32" s="4" t="s">
        <v>26</v>
      </c>
      <c r="B32" s="5">
        <v>1</v>
      </c>
      <c r="C32" s="5">
        <v>3</v>
      </c>
      <c r="D32" s="6">
        <f t="shared" si="3"/>
        <v>3</v>
      </c>
      <c r="E32" s="5"/>
      <c r="F32" s="5"/>
      <c r="G32" s="6">
        <f t="shared" si="4"/>
        <v>0</v>
      </c>
      <c r="H32" s="5">
        <v>2</v>
      </c>
      <c r="I32" s="5"/>
    </row>
    <row r="33" spans="1:9" x14ac:dyDescent="0.3">
      <c r="A33" s="4" t="s">
        <v>27</v>
      </c>
      <c r="B33" s="5">
        <f>14+8</f>
        <v>22</v>
      </c>
      <c r="C33" s="5">
        <f>298+83</f>
        <v>381</v>
      </c>
      <c r="D33" s="6">
        <f t="shared" si="3"/>
        <v>17.318181818181817</v>
      </c>
      <c r="E33" s="5">
        <f>1</f>
        <v>1</v>
      </c>
      <c r="F33" s="5">
        <f>12+17</f>
        <v>29</v>
      </c>
      <c r="G33" s="6">
        <f t="shared" si="4"/>
        <v>29</v>
      </c>
      <c r="H33" s="5">
        <f>3+3</f>
        <v>6</v>
      </c>
      <c r="I33" s="5"/>
    </row>
    <row r="34" spans="1:9" x14ac:dyDescent="0.3">
      <c r="A34" s="4" t="s">
        <v>28</v>
      </c>
      <c r="B34" s="4">
        <f>1+1</f>
        <v>2</v>
      </c>
      <c r="C34" s="4">
        <f>9+0</f>
        <v>9</v>
      </c>
      <c r="D34" s="6">
        <f t="shared" si="3"/>
        <v>4.5</v>
      </c>
      <c r="E34" s="4">
        <f>0</f>
        <v>0</v>
      </c>
      <c r="F34" s="4">
        <f>0</f>
        <v>0</v>
      </c>
      <c r="G34" s="6">
        <f t="shared" si="4"/>
        <v>0</v>
      </c>
      <c r="H34" s="4">
        <f>0</f>
        <v>0</v>
      </c>
      <c r="I34" s="4"/>
    </row>
    <row r="35" spans="1:9" s="9" customFormat="1" x14ac:dyDescent="0.3">
      <c r="A35" s="7" t="s">
        <v>527</v>
      </c>
      <c r="B35" s="7">
        <f>10</f>
        <v>10</v>
      </c>
      <c r="C35" s="7">
        <f>207</f>
        <v>207</v>
      </c>
      <c r="D35" s="8">
        <f t="shared" si="3"/>
        <v>20.7</v>
      </c>
      <c r="E35" s="7"/>
      <c r="F35" s="7"/>
      <c r="G35" s="8"/>
      <c r="H35" s="7">
        <f>3</f>
        <v>3</v>
      </c>
      <c r="I35" s="7"/>
    </row>
    <row r="36" spans="1:9" x14ac:dyDescent="0.3">
      <c r="A36" s="4" t="s">
        <v>29</v>
      </c>
      <c r="B36" s="5"/>
      <c r="C36" s="5"/>
      <c r="D36" s="6">
        <f t="shared" si="3"/>
        <v>0</v>
      </c>
      <c r="E36" s="5">
        <v>1</v>
      </c>
      <c r="F36" s="5">
        <v>27</v>
      </c>
      <c r="G36" s="6">
        <f t="shared" si="4"/>
        <v>27</v>
      </c>
      <c r="H36" s="5">
        <v>16</v>
      </c>
      <c r="I36" s="5"/>
    </row>
    <row r="37" spans="1:9" x14ac:dyDescent="0.3">
      <c r="A37" s="4" t="s">
        <v>30</v>
      </c>
      <c r="B37" s="4">
        <v>14</v>
      </c>
      <c r="C37" s="4">
        <v>175</v>
      </c>
      <c r="D37" s="6">
        <f t="shared" si="3"/>
        <v>12.5</v>
      </c>
      <c r="E37" s="4">
        <f>1</f>
        <v>1</v>
      </c>
      <c r="F37" s="4">
        <f>31</f>
        <v>31</v>
      </c>
      <c r="G37" s="6">
        <f t="shared" si="4"/>
        <v>31</v>
      </c>
      <c r="H37" s="4">
        <f>7</f>
        <v>7</v>
      </c>
      <c r="I37" s="4"/>
    </row>
    <row r="38" spans="1:9" x14ac:dyDescent="0.3">
      <c r="A38" s="4" t="s">
        <v>31</v>
      </c>
      <c r="B38" s="5">
        <v>18</v>
      </c>
      <c r="C38" s="5">
        <v>177</v>
      </c>
      <c r="D38" s="6">
        <f t="shared" si="3"/>
        <v>9.8333333333333339</v>
      </c>
      <c r="E38" s="5">
        <v>1</v>
      </c>
      <c r="F38" s="5">
        <v>28</v>
      </c>
      <c r="G38" s="6">
        <f t="shared" si="4"/>
        <v>28</v>
      </c>
      <c r="H38" s="5">
        <v>8</v>
      </c>
      <c r="I38" s="5"/>
    </row>
    <row r="39" spans="1:9" x14ac:dyDescent="0.3">
      <c r="A39" s="4" t="s">
        <v>32</v>
      </c>
      <c r="B39" s="5">
        <v>5</v>
      </c>
      <c r="C39" s="5">
        <v>4</v>
      </c>
      <c r="D39" s="6">
        <f t="shared" si="3"/>
        <v>0.8</v>
      </c>
      <c r="E39" s="5">
        <v>8</v>
      </c>
      <c r="F39" s="5">
        <v>327</v>
      </c>
      <c r="G39" s="6">
        <f t="shared" si="4"/>
        <v>40.875</v>
      </c>
      <c r="H39" s="5">
        <v>5</v>
      </c>
      <c r="I39" s="5"/>
    </row>
    <row r="40" spans="1:9" x14ac:dyDescent="0.3">
      <c r="A40" s="4" t="s">
        <v>33</v>
      </c>
      <c r="B40" s="5">
        <v>3</v>
      </c>
      <c r="C40" s="5">
        <v>31</v>
      </c>
      <c r="D40" s="6">
        <f t="shared" si="3"/>
        <v>10.333333333333334</v>
      </c>
      <c r="E40" s="5">
        <v>6</v>
      </c>
      <c r="F40" s="5">
        <v>172</v>
      </c>
      <c r="G40" s="6">
        <f t="shared" si="4"/>
        <v>28.666666666666668</v>
      </c>
      <c r="H40" s="5">
        <v>5</v>
      </c>
      <c r="I40" s="5"/>
    </row>
    <row r="41" spans="1:9" s="9" customFormat="1" x14ac:dyDescent="0.3">
      <c r="A41" s="7" t="s">
        <v>471</v>
      </c>
      <c r="B41" s="7">
        <f>0+0+3+2</f>
        <v>5</v>
      </c>
      <c r="C41" s="7">
        <f>30+0+29+10</f>
        <v>69</v>
      </c>
      <c r="D41" s="8">
        <f t="shared" si="3"/>
        <v>13.8</v>
      </c>
      <c r="E41" s="7">
        <f>7+3+22+2</f>
        <v>34</v>
      </c>
      <c r="F41" s="7">
        <f>264+68+351+149</f>
        <v>832</v>
      </c>
      <c r="G41" s="16">
        <f t="shared" si="4"/>
        <v>24.470588235294116</v>
      </c>
      <c r="H41" s="7">
        <f>2+1+3+1</f>
        <v>7</v>
      </c>
      <c r="I41" s="7"/>
    </row>
    <row r="42" spans="1:9" x14ac:dyDescent="0.3">
      <c r="A42" s="4" t="s">
        <v>34</v>
      </c>
      <c r="B42" s="5">
        <v>76</v>
      </c>
      <c r="C42" s="5">
        <v>1635</v>
      </c>
      <c r="D42" s="6">
        <f t="shared" si="3"/>
        <v>21.513157894736842</v>
      </c>
      <c r="E42" s="5">
        <v>2</v>
      </c>
      <c r="F42" s="5">
        <v>34</v>
      </c>
      <c r="G42" s="6">
        <f t="shared" si="4"/>
        <v>17</v>
      </c>
      <c r="H42" s="5">
        <v>68</v>
      </c>
      <c r="I42" s="5"/>
    </row>
    <row r="43" spans="1:9" s="12" customFormat="1" x14ac:dyDescent="0.3">
      <c r="A43" s="4" t="s">
        <v>35</v>
      </c>
      <c r="B43" s="4">
        <f>2+1+5</f>
        <v>8</v>
      </c>
      <c r="C43" s="4">
        <f>34+11+264</f>
        <v>309</v>
      </c>
      <c r="D43" s="11">
        <f t="shared" si="3"/>
        <v>38.625</v>
      </c>
      <c r="E43" s="4">
        <f>6+0+7</f>
        <v>13</v>
      </c>
      <c r="F43" s="4">
        <f>70+9+66</f>
        <v>145</v>
      </c>
      <c r="G43" s="11">
        <f t="shared" si="4"/>
        <v>11.153846153846153</v>
      </c>
      <c r="H43" s="4">
        <f>1+1</f>
        <v>2</v>
      </c>
      <c r="I43" s="4"/>
    </row>
    <row r="44" spans="1:9" x14ac:dyDescent="0.3">
      <c r="A44" s="4" t="s">
        <v>36</v>
      </c>
      <c r="B44" s="5">
        <v>6</v>
      </c>
      <c r="C44" s="5">
        <v>29</v>
      </c>
      <c r="D44" s="6">
        <f t="shared" si="3"/>
        <v>4.833333333333333</v>
      </c>
      <c r="E44" s="5">
        <v>22</v>
      </c>
      <c r="F44" s="5">
        <v>368</v>
      </c>
      <c r="G44" s="6">
        <f t="shared" si="4"/>
        <v>16.727272727272727</v>
      </c>
      <c r="H44" s="5">
        <v>2</v>
      </c>
      <c r="I44" s="5"/>
    </row>
    <row r="45" spans="1:9" x14ac:dyDescent="0.3">
      <c r="A45" s="4" t="s">
        <v>37</v>
      </c>
      <c r="B45" s="5">
        <v>4</v>
      </c>
      <c r="C45" s="5">
        <v>18</v>
      </c>
      <c r="D45" s="6">
        <f t="shared" si="3"/>
        <v>4.5</v>
      </c>
      <c r="E45" s="5"/>
      <c r="F45" s="5"/>
      <c r="G45" s="6">
        <f t="shared" si="4"/>
        <v>0</v>
      </c>
      <c r="H45" s="5">
        <v>1</v>
      </c>
      <c r="I45" s="5"/>
    </row>
    <row r="46" spans="1:9" s="12" customFormat="1" x14ac:dyDescent="0.3">
      <c r="A46" s="4" t="s">
        <v>469</v>
      </c>
      <c r="B46" s="4">
        <v>1</v>
      </c>
      <c r="C46" s="4">
        <v>1</v>
      </c>
      <c r="D46" s="11">
        <f t="shared" si="3"/>
        <v>1</v>
      </c>
      <c r="E46" s="4">
        <v>10</v>
      </c>
      <c r="F46" s="4">
        <v>114</v>
      </c>
      <c r="G46" s="11">
        <f>F46/E46</f>
        <v>11.4</v>
      </c>
      <c r="H46" s="4">
        <v>2</v>
      </c>
      <c r="I46" s="4"/>
    </row>
    <row r="47" spans="1:9" x14ac:dyDescent="0.3">
      <c r="A47" s="4" t="s">
        <v>38</v>
      </c>
      <c r="B47" s="4">
        <f>0</f>
        <v>0</v>
      </c>
      <c r="C47" s="4">
        <f>3</f>
        <v>3</v>
      </c>
      <c r="D47" s="6">
        <f t="shared" si="3"/>
        <v>0</v>
      </c>
      <c r="E47" s="4">
        <f>2</f>
        <v>2</v>
      </c>
      <c r="F47" s="4">
        <f>38</f>
        <v>38</v>
      </c>
      <c r="G47" s="6">
        <f t="shared" ref="G47:G70" si="5">IF(E47=0,0,F47/E47)</f>
        <v>19</v>
      </c>
      <c r="H47" s="4">
        <f>1</f>
        <v>1</v>
      </c>
      <c r="I47" s="4"/>
    </row>
    <row r="48" spans="1:9" x14ac:dyDescent="0.3">
      <c r="A48" s="4" t="s">
        <v>39</v>
      </c>
      <c r="B48" s="5">
        <v>18</v>
      </c>
      <c r="C48" s="5">
        <v>268</v>
      </c>
      <c r="D48" s="6">
        <f t="shared" si="3"/>
        <v>14.888888888888889</v>
      </c>
      <c r="E48" s="5">
        <v>3</v>
      </c>
      <c r="F48" s="5">
        <v>20</v>
      </c>
      <c r="G48" s="6">
        <f t="shared" si="5"/>
        <v>6.666666666666667</v>
      </c>
      <c r="H48" s="5">
        <v>8</v>
      </c>
      <c r="I48" s="5"/>
    </row>
    <row r="49" spans="1:9" x14ac:dyDescent="0.3">
      <c r="A49" s="4" t="s">
        <v>40</v>
      </c>
      <c r="B49" s="5">
        <v>7</v>
      </c>
      <c r="C49" s="5">
        <v>68</v>
      </c>
      <c r="D49" s="6">
        <f t="shared" si="3"/>
        <v>9.7142857142857135</v>
      </c>
      <c r="E49" s="5"/>
      <c r="F49" s="5"/>
      <c r="G49" s="6">
        <f t="shared" si="5"/>
        <v>0</v>
      </c>
      <c r="H49" s="5"/>
      <c r="I49" s="5"/>
    </row>
    <row r="50" spans="1:9" x14ac:dyDescent="0.3">
      <c r="A50" s="4" t="s">
        <v>41</v>
      </c>
      <c r="B50" s="5">
        <v>46</v>
      </c>
      <c r="C50" s="5">
        <v>968</v>
      </c>
      <c r="D50" s="6">
        <f t="shared" si="3"/>
        <v>21.043478260869566</v>
      </c>
      <c r="E50" s="5">
        <v>60</v>
      </c>
      <c r="F50" s="5">
        <v>1456</v>
      </c>
      <c r="G50" s="6">
        <f t="shared" si="5"/>
        <v>24.266666666666666</v>
      </c>
      <c r="H50" s="5">
        <v>25</v>
      </c>
      <c r="I50" s="5"/>
    </row>
    <row r="51" spans="1:9" x14ac:dyDescent="0.3">
      <c r="A51" s="4" t="s">
        <v>42</v>
      </c>
      <c r="B51" s="5">
        <v>19</v>
      </c>
      <c r="C51" s="5">
        <v>435</v>
      </c>
      <c r="D51" s="6">
        <f t="shared" si="3"/>
        <v>22.894736842105264</v>
      </c>
      <c r="E51" s="5">
        <v>72</v>
      </c>
      <c r="F51" s="5">
        <v>760</v>
      </c>
      <c r="G51" s="6">
        <f t="shared" si="5"/>
        <v>10.555555555555555</v>
      </c>
      <c r="H51" s="5">
        <v>4</v>
      </c>
      <c r="I51" s="5"/>
    </row>
    <row r="52" spans="1:9" x14ac:dyDescent="0.3">
      <c r="A52" s="4" t="s">
        <v>43</v>
      </c>
      <c r="B52" s="5">
        <v>3</v>
      </c>
      <c r="C52" s="5">
        <v>56</v>
      </c>
      <c r="D52" s="6">
        <f t="shared" si="3"/>
        <v>18.666666666666668</v>
      </c>
      <c r="E52" s="5">
        <v>3</v>
      </c>
      <c r="F52" s="5">
        <v>127</v>
      </c>
      <c r="G52" s="6">
        <f t="shared" si="5"/>
        <v>42.333333333333336</v>
      </c>
      <c r="H52" s="5"/>
      <c r="I52" s="5"/>
    </row>
    <row r="53" spans="1:9" x14ac:dyDescent="0.3">
      <c r="A53" s="4" t="s">
        <v>44</v>
      </c>
      <c r="B53" s="5">
        <v>14</v>
      </c>
      <c r="C53" s="5">
        <v>70</v>
      </c>
      <c r="D53" s="6">
        <f t="shared" si="3"/>
        <v>5</v>
      </c>
      <c r="E53" s="5"/>
      <c r="F53" s="5"/>
      <c r="G53" s="6">
        <f t="shared" si="5"/>
        <v>0</v>
      </c>
      <c r="H53" s="5">
        <v>14</v>
      </c>
      <c r="I53" s="5"/>
    </row>
    <row r="54" spans="1:9" x14ac:dyDescent="0.3">
      <c r="A54" s="4" t="s">
        <v>45</v>
      </c>
      <c r="B54" s="5">
        <v>7</v>
      </c>
      <c r="C54" s="5">
        <v>67</v>
      </c>
      <c r="D54" s="6">
        <f t="shared" si="3"/>
        <v>9.5714285714285712</v>
      </c>
      <c r="E54" s="5">
        <v>13</v>
      </c>
      <c r="F54" s="5">
        <v>260</v>
      </c>
      <c r="G54" s="6">
        <f t="shared" si="5"/>
        <v>20</v>
      </c>
      <c r="H54" s="5">
        <v>3</v>
      </c>
      <c r="I54" s="5"/>
    </row>
    <row r="55" spans="1:9" x14ac:dyDescent="0.3">
      <c r="A55" s="4" t="s">
        <v>46</v>
      </c>
      <c r="B55" s="5">
        <v>18</v>
      </c>
      <c r="C55" s="5">
        <v>532</v>
      </c>
      <c r="D55" s="6">
        <f t="shared" si="3"/>
        <v>29.555555555555557</v>
      </c>
      <c r="E55" s="5"/>
      <c r="F55" s="5"/>
      <c r="G55" s="6">
        <f t="shared" si="5"/>
        <v>0</v>
      </c>
      <c r="H55" s="5">
        <v>11</v>
      </c>
      <c r="I55" s="5"/>
    </row>
    <row r="56" spans="1:9" x14ac:dyDescent="0.3">
      <c r="A56" s="4" t="s">
        <v>47</v>
      </c>
      <c r="B56" s="4">
        <f>1</f>
        <v>1</v>
      </c>
      <c r="C56" s="4">
        <f>6</f>
        <v>6</v>
      </c>
      <c r="D56" s="6">
        <f t="shared" si="3"/>
        <v>6</v>
      </c>
      <c r="E56" s="4">
        <f>0</f>
        <v>0</v>
      </c>
      <c r="F56" s="4">
        <f>0</f>
        <v>0</v>
      </c>
      <c r="G56" s="6">
        <f t="shared" si="5"/>
        <v>0</v>
      </c>
      <c r="H56" s="4">
        <f>1</f>
        <v>1</v>
      </c>
      <c r="I56" s="4"/>
    </row>
    <row r="57" spans="1:9" x14ac:dyDescent="0.3">
      <c r="A57" s="4" t="s">
        <v>48</v>
      </c>
      <c r="B57" s="5">
        <v>7</v>
      </c>
      <c r="C57" s="5">
        <v>56</v>
      </c>
      <c r="D57" s="6">
        <f t="shared" si="3"/>
        <v>8</v>
      </c>
      <c r="E57" s="5"/>
      <c r="F57" s="5"/>
      <c r="G57" s="6">
        <f t="shared" si="5"/>
        <v>0</v>
      </c>
      <c r="H57" s="5">
        <v>3</v>
      </c>
      <c r="I57" s="5"/>
    </row>
    <row r="58" spans="1:9" x14ac:dyDescent="0.3">
      <c r="A58" s="4" t="s">
        <v>49</v>
      </c>
      <c r="B58" s="4">
        <f>7+7</f>
        <v>14</v>
      </c>
      <c r="C58" s="4">
        <f>122+124</f>
        <v>246</v>
      </c>
      <c r="D58" s="6">
        <f t="shared" si="3"/>
        <v>17.571428571428573</v>
      </c>
      <c r="E58" s="4">
        <f>17+19</f>
        <v>36</v>
      </c>
      <c r="F58" s="4">
        <f>218+248</f>
        <v>466</v>
      </c>
      <c r="G58" s="6">
        <f t="shared" si="5"/>
        <v>12.944444444444445</v>
      </c>
      <c r="H58" s="4">
        <f>2+7</f>
        <v>9</v>
      </c>
      <c r="I58" s="4"/>
    </row>
    <row r="59" spans="1:9" x14ac:dyDescent="0.3">
      <c r="A59" s="4" t="s">
        <v>50</v>
      </c>
      <c r="B59" s="5">
        <v>4</v>
      </c>
      <c r="C59" s="5">
        <v>21</v>
      </c>
      <c r="D59" s="6">
        <f t="shared" si="3"/>
        <v>5.25</v>
      </c>
      <c r="E59" s="5"/>
      <c r="F59" s="5"/>
      <c r="G59" s="6">
        <f t="shared" si="5"/>
        <v>0</v>
      </c>
      <c r="H59" s="5">
        <v>3</v>
      </c>
      <c r="I59" s="5"/>
    </row>
    <row r="60" spans="1:9" s="12" customFormat="1" x14ac:dyDescent="0.3">
      <c r="A60" s="4" t="s">
        <v>491</v>
      </c>
      <c r="B60" s="4">
        <f>2</f>
        <v>2</v>
      </c>
      <c r="C60" s="4">
        <f>10</f>
        <v>10</v>
      </c>
      <c r="D60" s="11">
        <f t="shared" si="3"/>
        <v>5</v>
      </c>
      <c r="E60" s="4">
        <f>5</f>
        <v>5</v>
      </c>
      <c r="F60" s="4">
        <f>171</f>
        <v>171</v>
      </c>
      <c r="G60" s="11">
        <f t="shared" si="5"/>
        <v>34.200000000000003</v>
      </c>
      <c r="H60" s="4">
        <f>1</f>
        <v>1</v>
      </c>
      <c r="I60" s="4"/>
    </row>
    <row r="61" spans="1:9" x14ac:dyDescent="0.3">
      <c r="A61" s="4" t="s">
        <v>51</v>
      </c>
      <c r="B61" s="5">
        <f>56+10+2</f>
        <v>68</v>
      </c>
      <c r="C61" s="5">
        <f>1766+343+195</f>
        <v>2304</v>
      </c>
      <c r="D61" s="6">
        <f t="shared" si="3"/>
        <v>33.882352941176471</v>
      </c>
      <c r="E61" s="5">
        <f>26+3</f>
        <v>29</v>
      </c>
      <c r="F61" s="5">
        <f>421+121</f>
        <v>542</v>
      </c>
      <c r="G61" s="6">
        <f t="shared" si="5"/>
        <v>18.689655172413794</v>
      </c>
      <c r="H61" s="5">
        <f>16+3</f>
        <v>19</v>
      </c>
      <c r="I61" s="5"/>
    </row>
    <row r="62" spans="1:9" s="12" customFormat="1" x14ac:dyDescent="0.3">
      <c r="A62" s="4" t="s">
        <v>52</v>
      </c>
      <c r="B62" s="5">
        <v>105</v>
      </c>
      <c r="C62" s="5">
        <v>1277</v>
      </c>
      <c r="D62" s="6">
        <f t="shared" si="3"/>
        <v>12.161904761904761</v>
      </c>
      <c r="E62" s="5">
        <v>2</v>
      </c>
      <c r="F62" s="5">
        <v>33</v>
      </c>
      <c r="G62" s="6">
        <f t="shared" si="5"/>
        <v>16.5</v>
      </c>
      <c r="H62" s="5">
        <v>131</v>
      </c>
      <c r="I62" s="5"/>
    </row>
    <row r="63" spans="1:9" x14ac:dyDescent="0.3">
      <c r="A63" s="4" t="s">
        <v>479</v>
      </c>
      <c r="B63" s="4"/>
      <c r="C63" s="4"/>
      <c r="D63" s="11"/>
      <c r="E63" s="4">
        <f>0</f>
        <v>0</v>
      </c>
      <c r="F63" s="4">
        <f>12</f>
        <v>12</v>
      </c>
      <c r="G63" s="11">
        <f t="shared" si="5"/>
        <v>0</v>
      </c>
      <c r="H63" s="4"/>
      <c r="I63" s="4"/>
    </row>
    <row r="64" spans="1:9" x14ac:dyDescent="0.3">
      <c r="A64" s="4" t="s">
        <v>53</v>
      </c>
      <c r="B64" s="5">
        <v>21</v>
      </c>
      <c r="C64" s="5">
        <v>311</v>
      </c>
      <c r="D64" s="6">
        <f t="shared" ref="D64:D87" si="6">IF(B64=0,0,C64/B64)</f>
        <v>14.80952380952381</v>
      </c>
      <c r="E64" s="5">
        <v>48</v>
      </c>
      <c r="F64" s="5">
        <v>798</v>
      </c>
      <c r="G64" s="6">
        <f t="shared" si="5"/>
        <v>16.625</v>
      </c>
      <c r="H64" s="5">
        <v>20</v>
      </c>
      <c r="I64" s="5"/>
    </row>
    <row r="65" spans="1:9" s="9" customFormat="1" x14ac:dyDescent="0.3">
      <c r="A65" s="7" t="s">
        <v>499</v>
      </c>
      <c r="B65" s="7">
        <f>7+15</f>
        <v>22</v>
      </c>
      <c r="C65" s="7">
        <f>49+171</f>
        <v>220</v>
      </c>
      <c r="D65" s="8">
        <f t="shared" si="6"/>
        <v>10</v>
      </c>
      <c r="E65" s="7">
        <f>6+5</f>
        <v>11</v>
      </c>
      <c r="F65" s="7">
        <f>227+203</f>
        <v>430</v>
      </c>
      <c r="G65" s="8">
        <f t="shared" si="5"/>
        <v>39.090909090909093</v>
      </c>
      <c r="H65" s="7">
        <v>6</v>
      </c>
      <c r="I65" s="7"/>
    </row>
    <row r="66" spans="1:9" s="12" customFormat="1" x14ac:dyDescent="0.3">
      <c r="A66" s="4" t="s">
        <v>427</v>
      </c>
      <c r="B66" s="4">
        <f>9+4+11+1+4</f>
        <v>29</v>
      </c>
      <c r="C66" s="4">
        <f>61+67+56+483+50+189</f>
        <v>906</v>
      </c>
      <c r="D66" s="11">
        <f t="shared" si="6"/>
        <v>31.241379310344829</v>
      </c>
      <c r="E66" s="4">
        <f>2+10+7+0</f>
        <v>19</v>
      </c>
      <c r="F66" s="4">
        <f>60+82+118+4</f>
        <v>264</v>
      </c>
      <c r="G66" s="11">
        <f t="shared" si="5"/>
        <v>13.894736842105264</v>
      </c>
      <c r="H66" s="4">
        <f>2+2+5+2+3</f>
        <v>14</v>
      </c>
      <c r="I66" s="4"/>
    </row>
    <row r="67" spans="1:9" x14ac:dyDescent="0.3">
      <c r="A67" s="4" t="s">
        <v>54</v>
      </c>
      <c r="B67" s="5">
        <v>31</v>
      </c>
      <c r="C67" s="5">
        <v>376</v>
      </c>
      <c r="D67" s="6">
        <f t="shared" si="6"/>
        <v>12.129032258064516</v>
      </c>
      <c r="E67" s="5">
        <v>1</v>
      </c>
      <c r="F67" s="5">
        <v>36</v>
      </c>
      <c r="G67" s="6">
        <f t="shared" si="5"/>
        <v>36</v>
      </c>
      <c r="H67" s="5">
        <v>16</v>
      </c>
      <c r="I67" s="5"/>
    </row>
    <row r="68" spans="1:9" s="12" customFormat="1" x14ac:dyDescent="0.3">
      <c r="A68" s="4" t="s">
        <v>448</v>
      </c>
      <c r="B68" s="4">
        <f>3+10+9+5+3+1+1</f>
        <v>32</v>
      </c>
      <c r="C68" s="4">
        <f>17+60+188+60+65+8+11+10</f>
        <v>419</v>
      </c>
      <c r="D68" s="11">
        <f t="shared" si="6"/>
        <v>13.09375</v>
      </c>
      <c r="E68" s="4">
        <f>3+6+13+8+15+1+1</f>
        <v>47</v>
      </c>
      <c r="F68" s="4">
        <f>22+109+219+146+186+27+34</f>
        <v>743</v>
      </c>
      <c r="G68" s="11">
        <f t="shared" si="5"/>
        <v>15.808510638297872</v>
      </c>
      <c r="H68" s="4">
        <f>16+2+1</f>
        <v>19</v>
      </c>
      <c r="I68" s="4"/>
    </row>
    <row r="69" spans="1:9" x14ac:dyDescent="0.3">
      <c r="A69" s="4" t="s">
        <v>55</v>
      </c>
      <c r="B69" s="5">
        <v>2</v>
      </c>
      <c r="C69" s="5">
        <v>113</v>
      </c>
      <c r="D69" s="6">
        <f t="shared" si="6"/>
        <v>56.5</v>
      </c>
      <c r="E69" s="5"/>
      <c r="F69" s="5"/>
      <c r="G69" s="6">
        <f t="shared" si="5"/>
        <v>0</v>
      </c>
      <c r="H69" s="5">
        <v>1</v>
      </c>
      <c r="I69" s="5"/>
    </row>
    <row r="70" spans="1:9" x14ac:dyDescent="0.3">
      <c r="A70" s="4" t="s">
        <v>56</v>
      </c>
      <c r="B70" s="5">
        <v>26</v>
      </c>
      <c r="C70" s="5">
        <v>504</v>
      </c>
      <c r="D70" s="6">
        <f t="shared" si="6"/>
        <v>19.384615384615383</v>
      </c>
      <c r="E70" s="5">
        <v>14</v>
      </c>
      <c r="F70" s="5">
        <v>210</v>
      </c>
      <c r="G70" s="6">
        <f t="shared" si="5"/>
        <v>15</v>
      </c>
      <c r="H70" s="5">
        <v>13</v>
      </c>
      <c r="I70" s="5"/>
    </row>
    <row r="71" spans="1:9" s="12" customFormat="1" x14ac:dyDescent="0.3">
      <c r="A71" s="4" t="s">
        <v>421</v>
      </c>
      <c r="B71" s="4">
        <v>1</v>
      </c>
      <c r="C71" s="4">
        <f>85</f>
        <v>85</v>
      </c>
      <c r="D71" s="11">
        <f t="shared" si="6"/>
        <v>85</v>
      </c>
      <c r="E71" s="4"/>
      <c r="F71" s="4"/>
      <c r="G71" s="11"/>
      <c r="H71" s="4"/>
      <c r="I71" s="4"/>
    </row>
    <row r="72" spans="1:9" x14ac:dyDescent="0.3">
      <c r="A72" s="4" t="s">
        <v>57</v>
      </c>
      <c r="B72" s="5">
        <v>9</v>
      </c>
      <c r="C72" s="5">
        <v>181</v>
      </c>
      <c r="D72" s="6">
        <f t="shared" si="6"/>
        <v>20.111111111111111</v>
      </c>
      <c r="E72" s="5">
        <v>13</v>
      </c>
      <c r="F72" s="5">
        <v>189</v>
      </c>
      <c r="G72" s="6">
        <f>IF(E72=0,0,F72/E72)</f>
        <v>14.538461538461538</v>
      </c>
      <c r="H72" s="5">
        <v>4</v>
      </c>
      <c r="I72" s="5"/>
    </row>
    <row r="73" spans="1:9" x14ac:dyDescent="0.3">
      <c r="A73" s="4" t="s">
        <v>58</v>
      </c>
      <c r="B73" s="5">
        <v>6</v>
      </c>
      <c r="C73" s="5">
        <v>93</v>
      </c>
      <c r="D73" s="6">
        <f t="shared" si="6"/>
        <v>15.5</v>
      </c>
      <c r="E73" s="5">
        <v>1</v>
      </c>
      <c r="F73" s="5">
        <v>14</v>
      </c>
      <c r="G73" s="6">
        <f>IF(E73=0,0,F73/E73)</f>
        <v>14</v>
      </c>
      <c r="H73" s="5">
        <v>5</v>
      </c>
      <c r="I73" s="5"/>
    </row>
    <row r="74" spans="1:9" s="9" customFormat="1" x14ac:dyDescent="0.3">
      <c r="A74" s="7" t="s">
        <v>438</v>
      </c>
      <c r="B74" s="7">
        <f>5+9+1+8+9+6+2+2</f>
        <v>42</v>
      </c>
      <c r="C74" s="7">
        <f>11+43+184+0+211+91+100+63+0</f>
        <v>703</v>
      </c>
      <c r="D74" s="8">
        <f t="shared" si="6"/>
        <v>16.738095238095237</v>
      </c>
      <c r="E74" s="7"/>
      <c r="F74" s="7"/>
      <c r="G74" s="8"/>
      <c r="H74" s="7">
        <f>5+21+15+2+15+13+10+3</f>
        <v>84</v>
      </c>
      <c r="I74" s="7">
        <f>2+11+2+3+2+1+1</f>
        <v>22</v>
      </c>
    </row>
    <row r="75" spans="1:9" s="9" customFormat="1" x14ac:dyDescent="0.3">
      <c r="A75" s="7" t="s">
        <v>492</v>
      </c>
      <c r="B75" s="7">
        <f>2+4+3</f>
        <v>9</v>
      </c>
      <c r="C75" s="7">
        <f>10+57+23</f>
        <v>90</v>
      </c>
      <c r="D75" s="8">
        <f t="shared" si="6"/>
        <v>10</v>
      </c>
      <c r="E75" s="7">
        <f>5+20+16</f>
        <v>41</v>
      </c>
      <c r="F75" s="7">
        <f>166+452+222</f>
        <v>840</v>
      </c>
      <c r="G75" s="8">
        <f t="shared" ref="G75:G87" si="7">IF(E75=0,0,F75/E75)</f>
        <v>20.487804878048781</v>
      </c>
      <c r="H75" s="7">
        <f>3+5+4</f>
        <v>12</v>
      </c>
      <c r="I75" s="7"/>
    </row>
    <row r="76" spans="1:9" x14ac:dyDescent="0.3">
      <c r="A76" s="4" t="s">
        <v>59</v>
      </c>
      <c r="B76" s="5">
        <v>4</v>
      </c>
      <c r="C76" s="5">
        <v>72</v>
      </c>
      <c r="D76" s="6">
        <f t="shared" si="6"/>
        <v>18</v>
      </c>
      <c r="E76" s="5"/>
      <c r="F76" s="5"/>
      <c r="G76" s="6">
        <f t="shared" si="7"/>
        <v>0</v>
      </c>
      <c r="H76" s="5">
        <v>1</v>
      </c>
      <c r="I76" s="5"/>
    </row>
    <row r="77" spans="1:9" x14ac:dyDescent="0.3">
      <c r="A77" s="4" t="s">
        <v>60</v>
      </c>
      <c r="B77" s="4">
        <f>1+3</f>
        <v>4</v>
      </c>
      <c r="C77" s="4">
        <f>0+19</f>
        <v>19</v>
      </c>
      <c r="D77" s="6">
        <f t="shared" si="6"/>
        <v>4.75</v>
      </c>
      <c r="E77" s="4">
        <f>0+3</f>
        <v>3</v>
      </c>
      <c r="F77" s="4">
        <f>38+47</f>
        <v>85</v>
      </c>
      <c r="G77" s="6">
        <f t="shared" si="7"/>
        <v>28.333333333333332</v>
      </c>
      <c r="H77" s="4">
        <f>1+1</f>
        <v>2</v>
      </c>
      <c r="I77" s="4"/>
    </row>
    <row r="78" spans="1:9" x14ac:dyDescent="0.3">
      <c r="A78" s="4" t="s">
        <v>61</v>
      </c>
      <c r="B78" s="5">
        <v>1</v>
      </c>
      <c r="C78" s="5">
        <v>2</v>
      </c>
      <c r="D78" s="6">
        <f t="shared" si="6"/>
        <v>2</v>
      </c>
      <c r="E78" s="5">
        <v>2</v>
      </c>
      <c r="F78" s="5">
        <v>6</v>
      </c>
      <c r="G78" s="6">
        <f t="shared" si="7"/>
        <v>3</v>
      </c>
      <c r="H78" s="5"/>
      <c r="I78" s="5"/>
    </row>
    <row r="79" spans="1:9" x14ac:dyDescent="0.3">
      <c r="A79" s="4" t="s">
        <v>62</v>
      </c>
      <c r="B79" s="5">
        <v>23</v>
      </c>
      <c r="C79" s="5">
        <v>651</v>
      </c>
      <c r="D79" s="6">
        <f t="shared" si="6"/>
        <v>28.304347826086957</v>
      </c>
      <c r="E79" s="5">
        <v>29</v>
      </c>
      <c r="F79" s="5">
        <v>512</v>
      </c>
      <c r="G79" s="6">
        <f t="shared" si="7"/>
        <v>17.655172413793103</v>
      </c>
      <c r="H79" s="5">
        <v>6</v>
      </c>
      <c r="I79" s="5"/>
    </row>
    <row r="80" spans="1:9" x14ac:dyDescent="0.3">
      <c r="A80" s="4" t="s">
        <v>63</v>
      </c>
      <c r="B80" s="5">
        <v>37</v>
      </c>
      <c r="C80" s="5">
        <v>393</v>
      </c>
      <c r="D80" s="6">
        <f t="shared" si="6"/>
        <v>10.621621621621621</v>
      </c>
      <c r="E80" s="5">
        <v>46</v>
      </c>
      <c r="F80" s="5">
        <v>821</v>
      </c>
      <c r="G80" s="6">
        <f t="shared" si="7"/>
        <v>17.847826086956523</v>
      </c>
      <c r="H80" s="5">
        <v>7</v>
      </c>
      <c r="I80" s="5"/>
    </row>
    <row r="81" spans="1:9" x14ac:dyDescent="0.3">
      <c r="A81" s="4" t="s">
        <v>64</v>
      </c>
      <c r="B81" s="5">
        <v>23</v>
      </c>
      <c r="C81" s="5">
        <v>572</v>
      </c>
      <c r="D81" s="6">
        <f t="shared" si="6"/>
        <v>24.869565217391305</v>
      </c>
      <c r="E81" s="5"/>
      <c r="F81" s="5"/>
      <c r="G81" s="6">
        <f t="shared" si="7"/>
        <v>0</v>
      </c>
      <c r="H81" s="5">
        <v>9</v>
      </c>
      <c r="I81" s="5"/>
    </row>
    <row r="82" spans="1:9" x14ac:dyDescent="0.3">
      <c r="A82" s="4" t="s">
        <v>65</v>
      </c>
      <c r="B82" s="5">
        <v>0</v>
      </c>
      <c r="C82" s="5">
        <v>9</v>
      </c>
      <c r="D82" s="6">
        <f t="shared" si="6"/>
        <v>0</v>
      </c>
      <c r="E82" s="5"/>
      <c r="F82" s="5"/>
      <c r="G82" s="6">
        <f t="shared" si="7"/>
        <v>0</v>
      </c>
      <c r="H82" s="5"/>
      <c r="I82" s="5"/>
    </row>
    <row r="83" spans="1:9" x14ac:dyDescent="0.3">
      <c r="A83" s="4" t="s">
        <v>66</v>
      </c>
      <c r="B83" s="5"/>
      <c r="C83" s="5"/>
      <c r="D83" s="6">
        <f t="shared" si="6"/>
        <v>0</v>
      </c>
      <c r="E83" s="5"/>
      <c r="F83" s="5"/>
      <c r="G83" s="6">
        <f t="shared" si="7"/>
        <v>0</v>
      </c>
      <c r="H83" s="5">
        <v>1</v>
      </c>
      <c r="I83" s="5"/>
    </row>
    <row r="84" spans="1:9" s="9" customFormat="1" x14ac:dyDescent="0.3">
      <c r="A84" s="7" t="s">
        <v>521</v>
      </c>
      <c r="B84" s="7">
        <f>0</f>
        <v>0</v>
      </c>
      <c r="C84" s="7"/>
      <c r="D84" s="8"/>
      <c r="E84" s="7">
        <f>0</f>
        <v>0</v>
      </c>
      <c r="F84" s="7">
        <f>12</f>
        <v>12</v>
      </c>
      <c r="G84" s="8" t="e">
        <f>F84/E84</f>
        <v>#DIV/0!</v>
      </c>
      <c r="H84" s="7"/>
      <c r="I84" s="7"/>
    </row>
    <row r="85" spans="1:9" x14ac:dyDescent="0.3">
      <c r="A85" s="4" t="s">
        <v>67</v>
      </c>
      <c r="B85" s="4">
        <f>10+9</f>
        <v>19</v>
      </c>
      <c r="C85" s="4">
        <f>117+91</f>
        <v>208</v>
      </c>
      <c r="D85" s="6">
        <f t="shared" si="6"/>
        <v>10.947368421052632</v>
      </c>
      <c r="E85" s="4">
        <f>15+16</f>
        <v>31</v>
      </c>
      <c r="F85" s="4">
        <f>254+227</f>
        <v>481</v>
      </c>
      <c r="G85" s="6">
        <f t="shared" si="7"/>
        <v>15.516129032258064</v>
      </c>
      <c r="H85" s="4">
        <f>4+2</f>
        <v>6</v>
      </c>
      <c r="I85" s="4"/>
    </row>
    <row r="86" spans="1:9" s="12" customFormat="1" x14ac:dyDescent="0.3">
      <c r="A86" s="4" t="s">
        <v>68</v>
      </c>
      <c r="B86" s="4">
        <v>25</v>
      </c>
      <c r="C86" s="4">
        <v>327</v>
      </c>
      <c r="D86" s="11">
        <f t="shared" si="6"/>
        <v>13.08</v>
      </c>
      <c r="E86" s="4">
        <v>25</v>
      </c>
      <c r="F86" s="4">
        <f>336+28</f>
        <v>364</v>
      </c>
      <c r="G86" s="11">
        <f t="shared" si="7"/>
        <v>14.56</v>
      </c>
      <c r="H86" s="4">
        <v>6</v>
      </c>
      <c r="I86" s="4"/>
    </row>
    <row r="87" spans="1:9" x14ac:dyDescent="0.3">
      <c r="A87" s="4" t="s">
        <v>69</v>
      </c>
      <c r="B87" s="5"/>
      <c r="C87" s="5"/>
      <c r="D87" s="6">
        <f t="shared" si="6"/>
        <v>0</v>
      </c>
      <c r="E87" s="5"/>
      <c r="F87" s="5"/>
      <c r="G87" s="6">
        <f t="shared" si="7"/>
        <v>0</v>
      </c>
      <c r="H87" s="5">
        <v>1</v>
      </c>
      <c r="I87" s="5"/>
    </row>
    <row r="88" spans="1:9" s="12" customFormat="1" x14ac:dyDescent="0.3">
      <c r="A88" s="4" t="s">
        <v>504</v>
      </c>
      <c r="B88" s="4">
        <f>2</f>
        <v>2</v>
      </c>
      <c r="C88" s="4">
        <f>4</f>
        <v>4</v>
      </c>
      <c r="D88" s="11"/>
      <c r="E88" s="4">
        <f>1</f>
        <v>1</v>
      </c>
      <c r="F88" s="4">
        <f>20</f>
        <v>20</v>
      </c>
      <c r="G88" s="11"/>
      <c r="H88" s="4">
        <f>1</f>
        <v>1</v>
      </c>
      <c r="I88" s="4"/>
    </row>
    <row r="89" spans="1:9" x14ac:dyDescent="0.3">
      <c r="A89" s="4" t="s">
        <v>70</v>
      </c>
      <c r="B89" s="5">
        <v>6</v>
      </c>
      <c r="C89" s="5">
        <v>66</v>
      </c>
      <c r="D89" s="6">
        <f>IF(B89=0,0,C89/B89)</f>
        <v>11</v>
      </c>
      <c r="E89" s="5"/>
      <c r="F89" s="5"/>
      <c r="G89" s="6">
        <f t="shared" ref="G89:G102" si="8">IF(E89=0,0,F89/E89)</f>
        <v>0</v>
      </c>
      <c r="H89" s="5">
        <v>2</v>
      </c>
      <c r="I89" s="5"/>
    </row>
    <row r="90" spans="1:9" x14ac:dyDescent="0.3">
      <c r="A90" s="4" t="s">
        <v>71</v>
      </c>
      <c r="B90" s="5">
        <v>0</v>
      </c>
      <c r="C90" s="5">
        <v>0</v>
      </c>
      <c r="D90" s="6">
        <f>IF(B90=0,0,C90/B90)</f>
        <v>0</v>
      </c>
      <c r="E90" s="5">
        <v>0</v>
      </c>
      <c r="F90" s="5">
        <v>10</v>
      </c>
      <c r="G90" s="6">
        <f t="shared" si="8"/>
        <v>0</v>
      </c>
      <c r="H90" s="5">
        <v>0</v>
      </c>
      <c r="I90" s="5"/>
    </row>
    <row r="91" spans="1:9" x14ac:dyDescent="0.3">
      <c r="A91" s="4" t="s">
        <v>72</v>
      </c>
      <c r="B91" s="5">
        <v>22</v>
      </c>
      <c r="C91" s="5">
        <v>494</v>
      </c>
      <c r="D91" s="6">
        <f>IF(B91=0,0,C91/B91)</f>
        <v>22.454545454545453</v>
      </c>
      <c r="E91" s="5"/>
      <c r="F91" s="5"/>
      <c r="G91" s="6">
        <f t="shared" si="8"/>
        <v>0</v>
      </c>
      <c r="H91" s="5">
        <v>6</v>
      </c>
      <c r="I91" s="5"/>
    </row>
    <row r="92" spans="1:9" s="9" customFormat="1" x14ac:dyDescent="0.3">
      <c r="A92" s="7" t="s">
        <v>511</v>
      </c>
      <c r="B92" s="7">
        <f>0</f>
        <v>0</v>
      </c>
      <c r="C92" s="7">
        <f>0</f>
        <v>0</v>
      </c>
      <c r="D92" s="8"/>
      <c r="E92" s="7">
        <f>0+0</f>
        <v>0</v>
      </c>
      <c r="F92" s="7">
        <f>28+11</f>
        <v>39</v>
      </c>
      <c r="G92" s="8" t="e">
        <f>F92/E92</f>
        <v>#DIV/0!</v>
      </c>
      <c r="H92" s="7"/>
      <c r="I92" s="7"/>
    </row>
    <row r="93" spans="1:9" s="12" customFormat="1" x14ac:dyDescent="0.3">
      <c r="A93" s="4" t="s">
        <v>466</v>
      </c>
      <c r="B93" s="4">
        <f>4</f>
        <v>4</v>
      </c>
      <c r="C93" s="4">
        <f>20</f>
        <v>20</v>
      </c>
      <c r="D93" s="11">
        <f t="shared" ref="D93:D119" si="9">IF(B93=0,0,C93/B93)</f>
        <v>5</v>
      </c>
      <c r="E93" s="4">
        <f>14</f>
        <v>14</v>
      </c>
      <c r="F93" s="4">
        <f>257</f>
        <v>257</v>
      </c>
      <c r="G93" s="11">
        <f t="shared" si="8"/>
        <v>18.357142857142858</v>
      </c>
      <c r="H93" s="4">
        <f>2</f>
        <v>2</v>
      </c>
      <c r="I93" s="4"/>
    </row>
    <row r="94" spans="1:9" x14ac:dyDescent="0.3">
      <c r="A94" s="4" t="s">
        <v>73</v>
      </c>
      <c r="B94" s="5">
        <v>22</v>
      </c>
      <c r="C94" s="5">
        <v>194</v>
      </c>
      <c r="D94" s="6">
        <f t="shared" si="9"/>
        <v>8.8181818181818183</v>
      </c>
      <c r="E94" s="5">
        <v>1</v>
      </c>
      <c r="F94" s="5">
        <v>24</v>
      </c>
      <c r="G94" s="6">
        <f t="shared" si="8"/>
        <v>24</v>
      </c>
      <c r="H94" s="5">
        <v>2</v>
      </c>
      <c r="I94" s="5"/>
    </row>
    <row r="95" spans="1:9" x14ac:dyDescent="0.3">
      <c r="A95" s="4" t="s">
        <v>74</v>
      </c>
      <c r="B95" s="5">
        <v>3</v>
      </c>
      <c r="C95" s="5">
        <v>26</v>
      </c>
      <c r="D95" s="6">
        <f t="shared" si="9"/>
        <v>8.6666666666666661</v>
      </c>
      <c r="E95" s="5">
        <v>8</v>
      </c>
      <c r="F95" s="5">
        <v>95</v>
      </c>
      <c r="G95" s="6">
        <f t="shared" si="8"/>
        <v>11.875</v>
      </c>
      <c r="H95" s="5"/>
      <c r="I95" s="5"/>
    </row>
    <row r="96" spans="1:9" x14ac:dyDescent="0.3">
      <c r="A96" s="4" t="s">
        <v>75</v>
      </c>
      <c r="B96" s="5">
        <v>8</v>
      </c>
      <c r="C96" s="5">
        <v>44</v>
      </c>
      <c r="D96" s="6">
        <f t="shared" si="9"/>
        <v>5.5</v>
      </c>
      <c r="E96" s="5">
        <v>36</v>
      </c>
      <c r="F96" s="5">
        <v>376</v>
      </c>
      <c r="G96" s="6">
        <f t="shared" si="8"/>
        <v>10.444444444444445</v>
      </c>
      <c r="H96" s="5">
        <v>1</v>
      </c>
      <c r="I96" s="5"/>
    </row>
    <row r="97" spans="1:9" x14ac:dyDescent="0.3">
      <c r="A97" s="4" t="s">
        <v>76</v>
      </c>
      <c r="B97" s="5">
        <v>2</v>
      </c>
      <c r="C97" s="5">
        <v>1</v>
      </c>
      <c r="D97" s="6">
        <f t="shared" si="9"/>
        <v>0.5</v>
      </c>
      <c r="E97" s="5"/>
      <c r="F97" s="5"/>
      <c r="G97" s="6">
        <f t="shared" si="8"/>
        <v>0</v>
      </c>
      <c r="H97" s="5"/>
      <c r="I97" s="5"/>
    </row>
    <row r="98" spans="1:9" x14ac:dyDescent="0.3">
      <c r="A98" s="4" t="s">
        <v>77</v>
      </c>
      <c r="B98" s="5">
        <v>44</v>
      </c>
      <c r="C98" s="5">
        <v>697</v>
      </c>
      <c r="D98" s="6">
        <f t="shared" si="9"/>
        <v>15.840909090909092</v>
      </c>
      <c r="E98" s="5">
        <v>3</v>
      </c>
      <c r="F98" s="5">
        <v>32</v>
      </c>
      <c r="G98" s="6">
        <f t="shared" si="8"/>
        <v>10.666666666666666</v>
      </c>
      <c r="H98" s="5">
        <v>48</v>
      </c>
      <c r="I98" s="5"/>
    </row>
    <row r="99" spans="1:9" x14ac:dyDescent="0.3">
      <c r="A99" s="4" t="s">
        <v>78</v>
      </c>
      <c r="B99" s="5">
        <v>9</v>
      </c>
      <c r="C99" s="5">
        <v>149</v>
      </c>
      <c r="D99" s="6">
        <f t="shared" si="9"/>
        <v>16.555555555555557</v>
      </c>
      <c r="E99" s="5">
        <v>79</v>
      </c>
      <c r="F99" s="5">
        <v>830</v>
      </c>
      <c r="G99" s="6">
        <f t="shared" si="8"/>
        <v>10.50632911392405</v>
      </c>
      <c r="H99" s="5">
        <v>9</v>
      </c>
      <c r="I99" s="5"/>
    </row>
    <row r="100" spans="1:9" x14ac:dyDescent="0.3">
      <c r="A100" s="4" t="s">
        <v>79</v>
      </c>
      <c r="B100" s="5">
        <f>28+2+9+1</f>
        <v>40</v>
      </c>
      <c r="C100" s="5">
        <f>353+112+130+6</f>
        <v>601</v>
      </c>
      <c r="D100" s="6">
        <f t="shared" si="9"/>
        <v>15.025</v>
      </c>
      <c r="E100" s="5">
        <v>1</v>
      </c>
      <c r="F100" s="5">
        <f>16+0</f>
        <v>16</v>
      </c>
      <c r="G100" s="6">
        <f t="shared" si="8"/>
        <v>16</v>
      </c>
      <c r="H100" s="5">
        <f>15+1+4</f>
        <v>20</v>
      </c>
      <c r="I100" s="5"/>
    </row>
    <row r="101" spans="1:9" x14ac:dyDescent="0.3">
      <c r="A101" s="4" t="s">
        <v>80</v>
      </c>
      <c r="B101" s="4">
        <v>3</v>
      </c>
      <c r="C101" s="4">
        <v>51</v>
      </c>
      <c r="D101" s="11">
        <f t="shared" si="9"/>
        <v>17</v>
      </c>
      <c r="E101" s="4"/>
      <c r="F101" s="4"/>
      <c r="G101" s="11">
        <f t="shared" si="8"/>
        <v>0</v>
      </c>
      <c r="H101" s="4">
        <v>7</v>
      </c>
      <c r="I101" s="4"/>
    </row>
    <row r="102" spans="1:9" s="12" customFormat="1" x14ac:dyDescent="0.3">
      <c r="A102" s="4" t="s">
        <v>477</v>
      </c>
      <c r="B102" s="4">
        <f>1</f>
        <v>1</v>
      </c>
      <c r="C102" s="4">
        <f>1</f>
        <v>1</v>
      </c>
      <c r="D102" s="11">
        <f t="shared" si="9"/>
        <v>1</v>
      </c>
      <c r="E102" s="4">
        <f>1</f>
        <v>1</v>
      </c>
      <c r="F102" s="4">
        <f>11</f>
        <v>11</v>
      </c>
      <c r="G102" s="11">
        <f t="shared" si="8"/>
        <v>11</v>
      </c>
      <c r="H102" s="4"/>
      <c r="I102" s="4"/>
    </row>
    <row r="103" spans="1:9" s="12" customFormat="1" x14ac:dyDescent="0.3">
      <c r="A103" s="4" t="s">
        <v>434</v>
      </c>
      <c r="B103" s="4">
        <v>5</v>
      </c>
      <c r="C103" s="4">
        <f>108+103</f>
        <v>211</v>
      </c>
      <c r="D103" s="11">
        <f t="shared" si="9"/>
        <v>42.2</v>
      </c>
      <c r="E103" s="4">
        <v>0</v>
      </c>
      <c r="F103" s="4">
        <v>10</v>
      </c>
      <c r="G103" s="11"/>
      <c r="H103" s="4">
        <v>13</v>
      </c>
      <c r="I103" s="4">
        <v>3</v>
      </c>
    </row>
    <row r="104" spans="1:9" x14ac:dyDescent="0.3">
      <c r="A104" s="4" t="s">
        <v>81</v>
      </c>
      <c r="B104" s="4">
        <v>0</v>
      </c>
      <c r="C104" s="4">
        <f>0</f>
        <v>0</v>
      </c>
      <c r="D104" s="6">
        <f t="shared" si="9"/>
        <v>0</v>
      </c>
      <c r="E104" s="4">
        <f>0</f>
        <v>0</v>
      </c>
      <c r="F104" s="4">
        <f>0</f>
        <v>0</v>
      </c>
      <c r="G104" s="6">
        <f t="shared" ref="G104:G119" si="10">IF(E104=0,0,F104/E104)</f>
        <v>0</v>
      </c>
      <c r="H104" s="4">
        <f>1</f>
        <v>1</v>
      </c>
      <c r="I104" s="4"/>
    </row>
    <row r="105" spans="1:9" x14ac:dyDescent="0.3">
      <c r="A105" s="4" t="s">
        <v>82</v>
      </c>
      <c r="B105" s="5">
        <v>6</v>
      </c>
      <c r="C105" s="5">
        <v>65</v>
      </c>
      <c r="D105" s="6">
        <f t="shared" si="9"/>
        <v>10.833333333333334</v>
      </c>
      <c r="E105" s="5">
        <v>1</v>
      </c>
      <c r="F105" s="5">
        <v>45</v>
      </c>
      <c r="G105" s="6">
        <f t="shared" si="10"/>
        <v>45</v>
      </c>
      <c r="H105" s="5">
        <v>1</v>
      </c>
      <c r="I105" s="5"/>
    </row>
    <row r="106" spans="1:9" x14ac:dyDescent="0.3">
      <c r="A106" s="4" t="s">
        <v>83</v>
      </c>
      <c r="B106" s="5">
        <f>1+10</f>
        <v>11</v>
      </c>
      <c r="C106" s="5">
        <v>96</v>
      </c>
      <c r="D106" s="6">
        <f t="shared" si="9"/>
        <v>8.7272727272727266</v>
      </c>
      <c r="E106" s="5">
        <v>0</v>
      </c>
      <c r="F106" s="5">
        <v>6</v>
      </c>
      <c r="G106" s="6">
        <f t="shared" si="10"/>
        <v>0</v>
      </c>
      <c r="H106" s="5">
        <v>2</v>
      </c>
      <c r="I106" s="5"/>
    </row>
    <row r="107" spans="1:9" x14ac:dyDescent="0.3">
      <c r="A107" s="4" t="s">
        <v>84</v>
      </c>
      <c r="B107" s="5">
        <v>40</v>
      </c>
      <c r="C107" s="5">
        <v>810</v>
      </c>
      <c r="D107" s="6">
        <f t="shared" si="9"/>
        <v>20.25</v>
      </c>
      <c r="E107" s="5">
        <v>6</v>
      </c>
      <c r="F107" s="5">
        <v>147</v>
      </c>
      <c r="G107" s="6">
        <f t="shared" si="10"/>
        <v>24.5</v>
      </c>
      <c r="H107" s="5">
        <v>10</v>
      </c>
      <c r="I107" s="5"/>
    </row>
    <row r="108" spans="1:9" s="12" customFormat="1" x14ac:dyDescent="0.3">
      <c r="A108" s="4" t="s">
        <v>440</v>
      </c>
      <c r="B108" s="4">
        <f>1+12+7+8+3+8+9</f>
        <v>48</v>
      </c>
      <c r="C108" s="4">
        <f>228+228+181+13+99+240</f>
        <v>989</v>
      </c>
      <c r="D108" s="11">
        <f t="shared" si="9"/>
        <v>20.604166666666668</v>
      </c>
      <c r="E108" s="4">
        <f>0+11+15+15+7+13</f>
        <v>61</v>
      </c>
      <c r="F108" s="4">
        <f>6+191+244+221+214+210</f>
        <v>1086</v>
      </c>
      <c r="G108" s="11">
        <f t="shared" si="10"/>
        <v>17.803278688524589</v>
      </c>
      <c r="H108" s="4">
        <f>3+4+3+7+5</f>
        <v>22</v>
      </c>
      <c r="I108" s="4"/>
    </row>
    <row r="109" spans="1:9" x14ac:dyDescent="0.3">
      <c r="A109" s="4" t="s">
        <v>85</v>
      </c>
      <c r="B109" s="5">
        <v>9</v>
      </c>
      <c r="C109" s="5">
        <v>229</v>
      </c>
      <c r="D109" s="6">
        <f t="shared" si="9"/>
        <v>25.444444444444443</v>
      </c>
      <c r="E109" s="5">
        <v>6</v>
      </c>
      <c r="F109" s="5">
        <v>73</v>
      </c>
      <c r="G109" s="6">
        <f t="shared" si="10"/>
        <v>12.166666666666666</v>
      </c>
      <c r="H109" s="5">
        <v>2</v>
      </c>
      <c r="I109" s="5"/>
    </row>
    <row r="110" spans="1:9" s="9" customFormat="1" x14ac:dyDescent="0.3">
      <c r="A110" s="7" t="s">
        <v>470</v>
      </c>
      <c r="B110" s="7">
        <f>3+3+4+5+3</f>
        <v>18</v>
      </c>
      <c r="C110" s="7">
        <f>176+68+154+198+8</f>
        <v>604</v>
      </c>
      <c r="D110" s="8">
        <f t="shared" si="9"/>
        <v>33.555555555555557</v>
      </c>
      <c r="E110" s="7">
        <f>6+5+2+3+1</f>
        <v>17</v>
      </c>
      <c r="F110" s="7">
        <f>41+73+116+104+12</f>
        <v>346</v>
      </c>
      <c r="G110" s="8">
        <f t="shared" si="10"/>
        <v>20.352941176470587</v>
      </c>
      <c r="H110" s="7">
        <f>2+6+3</f>
        <v>11</v>
      </c>
      <c r="I110" s="7"/>
    </row>
    <row r="111" spans="1:9" s="9" customFormat="1" x14ac:dyDescent="0.3">
      <c r="A111" s="7" t="s">
        <v>481</v>
      </c>
      <c r="B111" s="7">
        <f>2+9+4+3</f>
        <v>18</v>
      </c>
      <c r="C111" s="7">
        <f>40+84+53+38</f>
        <v>215</v>
      </c>
      <c r="D111" s="8">
        <f t="shared" si="9"/>
        <v>11.944444444444445</v>
      </c>
      <c r="E111" s="7">
        <f>3</f>
        <v>3</v>
      </c>
      <c r="F111" s="7">
        <f>29</f>
        <v>29</v>
      </c>
      <c r="G111" s="8">
        <f t="shared" si="10"/>
        <v>9.6666666666666661</v>
      </c>
      <c r="H111" s="7">
        <f>1+3+3</f>
        <v>7</v>
      </c>
      <c r="I111" s="7" t="s">
        <v>454</v>
      </c>
    </row>
    <row r="112" spans="1:9" x14ac:dyDescent="0.3">
      <c r="A112" s="4" t="s">
        <v>86</v>
      </c>
      <c r="B112" s="5"/>
      <c r="C112" s="5"/>
      <c r="D112" s="6">
        <f t="shared" si="9"/>
        <v>0</v>
      </c>
      <c r="E112" s="5"/>
      <c r="F112" s="5"/>
      <c r="G112" s="6">
        <f>IF(E112=0,0,F112/E112)</f>
        <v>0</v>
      </c>
      <c r="H112" s="5">
        <v>2</v>
      </c>
      <c r="I112" s="5"/>
    </row>
    <row r="113" spans="1:9" s="9" customFormat="1" x14ac:dyDescent="0.3">
      <c r="A113" s="7" t="s">
        <v>520</v>
      </c>
      <c r="B113" s="7">
        <f>3</f>
        <v>3</v>
      </c>
      <c r="C113" s="7">
        <f>37</f>
        <v>37</v>
      </c>
      <c r="D113" s="8">
        <f t="shared" si="9"/>
        <v>12.333333333333334</v>
      </c>
      <c r="E113" s="7">
        <f>0</f>
        <v>0</v>
      </c>
      <c r="F113" s="7">
        <f>10</f>
        <v>10</v>
      </c>
      <c r="G113" s="8" t="e">
        <f>F113/E113</f>
        <v>#DIV/0!</v>
      </c>
      <c r="H113" s="7"/>
      <c r="I113" s="7"/>
    </row>
    <row r="114" spans="1:9" x14ac:dyDescent="0.3">
      <c r="A114" s="4" t="s">
        <v>87</v>
      </c>
      <c r="B114" s="4">
        <f>6+1+6+7+6+15+12</f>
        <v>53</v>
      </c>
      <c r="C114" s="4">
        <f>68+1+108+215+160+343+446</f>
        <v>1341</v>
      </c>
      <c r="D114" s="6">
        <f t="shared" si="9"/>
        <v>25.30188679245283</v>
      </c>
      <c r="E114" s="4">
        <f>10+1+15+13+3+1+0</f>
        <v>43</v>
      </c>
      <c r="F114" s="4">
        <f>209+18+202+224+65+17+7</f>
        <v>742</v>
      </c>
      <c r="G114" s="6">
        <f t="shared" si="10"/>
        <v>17.255813953488371</v>
      </c>
      <c r="H114" s="4">
        <f>6+3+3+4+3+9</f>
        <v>28</v>
      </c>
      <c r="I114" s="4"/>
    </row>
    <row r="115" spans="1:9" x14ac:dyDescent="0.3">
      <c r="A115" s="4" t="s">
        <v>88</v>
      </c>
      <c r="B115" s="5">
        <f>5+4+6</f>
        <v>15</v>
      </c>
      <c r="C115" s="5">
        <v>113</v>
      </c>
      <c r="D115" s="6">
        <f t="shared" si="9"/>
        <v>7.5333333333333332</v>
      </c>
      <c r="E115" s="5">
        <f>7+6+1</f>
        <v>14</v>
      </c>
      <c r="F115" s="5">
        <f>118+202+56</f>
        <v>376</v>
      </c>
      <c r="G115" s="6">
        <f t="shared" si="10"/>
        <v>26.857142857142858</v>
      </c>
      <c r="H115" s="5">
        <f>1+3</f>
        <v>4</v>
      </c>
      <c r="I115" s="5"/>
    </row>
    <row r="116" spans="1:9" x14ac:dyDescent="0.3">
      <c r="A116" s="4" t="s">
        <v>89</v>
      </c>
      <c r="B116" s="4">
        <f>9+6+0+8</f>
        <v>23</v>
      </c>
      <c r="C116" s="4">
        <f>177+214+55+172</f>
        <v>618</v>
      </c>
      <c r="D116" s="6">
        <f t="shared" si="9"/>
        <v>26.869565217391305</v>
      </c>
      <c r="E116" s="4">
        <f>18+6+9</f>
        <v>33</v>
      </c>
      <c r="F116" s="4">
        <f>240+69+103</f>
        <v>412</v>
      </c>
      <c r="G116" s="6">
        <f t="shared" si="10"/>
        <v>12.484848484848484</v>
      </c>
      <c r="H116" s="4">
        <f>1+3+4</f>
        <v>8</v>
      </c>
      <c r="I116" s="4"/>
    </row>
    <row r="117" spans="1:9" x14ac:dyDescent="0.3">
      <c r="A117" s="4" t="s">
        <v>90</v>
      </c>
      <c r="B117" s="5">
        <v>60</v>
      </c>
      <c r="C117" s="5">
        <v>1216</v>
      </c>
      <c r="D117" s="6">
        <f t="shared" si="9"/>
        <v>20.266666666666666</v>
      </c>
      <c r="E117" s="5">
        <v>68</v>
      </c>
      <c r="F117" s="5">
        <v>1016</v>
      </c>
      <c r="G117" s="6">
        <f t="shared" si="10"/>
        <v>14.941176470588236</v>
      </c>
      <c r="H117" s="5">
        <v>51</v>
      </c>
      <c r="I117" s="5"/>
    </row>
    <row r="118" spans="1:9" s="9" customFormat="1" x14ac:dyDescent="0.3">
      <c r="A118" s="7" t="s">
        <v>419</v>
      </c>
      <c r="B118" s="7">
        <f>19+2</f>
        <v>21</v>
      </c>
      <c r="C118" s="7">
        <f>259+79+115+114</f>
        <v>567</v>
      </c>
      <c r="D118" s="8">
        <f t="shared" si="9"/>
        <v>27</v>
      </c>
      <c r="E118" s="7">
        <v>2</v>
      </c>
      <c r="F118" s="7">
        <v>48</v>
      </c>
      <c r="G118" s="8">
        <f t="shared" si="10"/>
        <v>24</v>
      </c>
      <c r="H118" s="7">
        <f>36+4</f>
        <v>40</v>
      </c>
      <c r="I118" s="7">
        <v>1</v>
      </c>
    </row>
    <row r="119" spans="1:9" x14ac:dyDescent="0.3">
      <c r="A119" s="4" t="s">
        <v>91</v>
      </c>
      <c r="B119" s="5">
        <v>5</v>
      </c>
      <c r="C119" s="5">
        <v>48</v>
      </c>
      <c r="D119" s="6">
        <f t="shared" si="9"/>
        <v>9.6</v>
      </c>
      <c r="E119" s="5"/>
      <c r="F119" s="5"/>
      <c r="G119" s="6">
        <f t="shared" si="10"/>
        <v>0</v>
      </c>
      <c r="H119" s="5">
        <v>10</v>
      </c>
      <c r="I119" s="5"/>
    </row>
    <row r="120" spans="1:9" x14ac:dyDescent="0.3">
      <c r="A120" s="4" t="s">
        <v>453</v>
      </c>
      <c r="B120" s="5" t="s">
        <v>454</v>
      </c>
      <c r="C120" s="5" t="s">
        <v>454</v>
      </c>
      <c r="D120" s="6" t="s">
        <v>454</v>
      </c>
      <c r="E120" s="5" t="s">
        <v>454</v>
      </c>
      <c r="F120" s="5" t="s">
        <v>454</v>
      </c>
      <c r="G120" s="6"/>
      <c r="H120" s="5">
        <v>1</v>
      </c>
      <c r="I120" s="5"/>
    </row>
    <row r="121" spans="1:9" s="12" customFormat="1" x14ac:dyDescent="0.3">
      <c r="A121" s="4" t="s">
        <v>473</v>
      </c>
      <c r="B121" s="4">
        <f>1</f>
        <v>1</v>
      </c>
      <c r="C121" s="4">
        <f>16</f>
        <v>16</v>
      </c>
      <c r="D121" s="11">
        <f>IF(B121=0,0,C121/B121)</f>
        <v>16</v>
      </c>
      <c r="E121" s="4">
        <f>0+2</f>
        <v>2</v>
      </c>
      <c r="F121" s="4">
        <f>15+34</f>
        <v>49</v>
      </c>
      <c r="G121" s="11">
        <f>IF(E121=0,0,F121/E121)</f>
        <v>24.5</v>
      </c>
      <c r="H121" s="4"/>
      <c r="I121" s="4"/>
    </row>
    <row r="122" spans="1:9" s="12" customFormat="1" x14ac:dyDescent="0.3">
      <c r="A122" s="4" t="s">
        <v>487</v>
      </c>
      <c r="B122" s="4">
        <f>6</f>
        <v>6</v>
      </c>
      <c r="C122" s="4">
        <f>44</f>
        <v>44</v>
      </c>
      <c r="D122" s="11">
        <f>IF(B122=0,0,C122/B122)</f>
        <v>7.333333333333333</v>
      </c>
      <c r="E122" s="4">
        <f>8</f>
        <v>8</v>
      </c>
      <c r="F122" s="4">
        <f>172</f>
        <v>172</v>
      </c>
      <c r="G122" s="11">
        <f>IF(E122=0,0,F122/E122)</f>
        <v>21.5</v>
      </c>
      <c r="H122" s="4">
        <f>3</f>
        <v>3</v>
      </c>
      <c r="I122" s="4"/>
    </row>
    <row r="123" spans="1:9" s="12" customFormat="1" x14ac:dyDescent="0.3">
      <c r="A123" s="4" t="s">
        <v>92</v>
      </c>
      <c r="B123" s="4">
        <v>14</v>
      </c>
      <c r="C123" s="4">
        <f>143+70</f>
        <v>213</v>
      </c>
      <c r="D123" s="11">
        <f>IF(B123=0,0,C123/B123)</f>
        <v>15.214285714285714</v>
      </c>
      <c r="E123" s="4">
        <f>5+14</f>
        <v>19</v>
      </c>
      <c r="F123" s="4">
        <v>248</v>
      </c>
      <c r="G123" s="11">
        <f>IF(E123=0,0,F123/E123)</f>
        <v>13.052631578947368</v>
      </c>
      <c r="H123" s="4">
        <v>6</v>
      </c>
      <c r="I123" s="4"/>
    </row>
    <row r="124" spans="1:9" x14ac:dyDescent="0.3">
      <c r="A124" s="4" t="s">
        <v>93</v>
      </c>
      <c r="B124" s="5">
        <v>1</v>
      </c>
      <c r="C124" s="5">
        <v>4</v>
      </c>
      <c r="D124" s="6">
        <f>IF(B124=0,0,C124/B124)</f>
        <v>4</v>
      </c>
      <c r="E124" s="5">
        <v>1</v>
      </c>
      <c r="F124" s="5">
        <v>32</v>
      </c>
      <c r="G124" s="6">
        <f>IF(E124=0,0,F124/E124)</f>
        <v>32</v>
      </c>
      <c r="H124" s="5"/>
      <c r="I124" s="5"/>
    </row>
    <row r="125" spans="1:9" s="9" customFormat="1" x14ac:dyDescent="0.3">
      <c r="A125" s="7" t="s">
        <v>505</v>
      </c>
      <c r="B125" s="7">
        <f>3+11</f>
        <v>14</v>
      </c>
      <c r="C125" s="7">
        <f>32+160</f>
        <v>192</v>
      </c>
      <c r="D125" s="8"/>
      <c r="E125" s="7">
        <f>1</f>
        <v>1</v>
      </c>
      <c r="F125" s="7">
        <f>23</f>
        <v>23</v>
      </c>
      <c r="G125" s="8"/>
      <c r="H125" s="7">
        <f>2+12</f>
        <v>14</v>
      </c>
      <c r="I125" s="7">
        <f>1</f>
        <v>1</v>
      </c>
    </row>
    <row r="126" spans="1:9" x14ac:dyDescent="0.3">
      <c r="A126" s="4" t="s">
        <v>94</v>
      </c>
      <c r="B126" s="5">
        <v>7</v>
      </c>
      <c r="C126" s="5">
        <v>127</v>
      </c>
      <c r="D126" s="6">
        <f t="shared" ref="D126:D155" si="11">IF(B126=0,0,C126/B126)</f>
        <v>18.142857142857142</v>
      </c>
      <c r="E126" s="5">
        <v>7</v>
      </c>
      <c r="F126" s="5">
        <v>138</v>
      </c>
      <c r="G126" s="6">
        <f>IF(E126=0,0,F126/E126)</f>
        <v>19.714285714285715</v>
      </c>
      <c r="H126" s="5">
        <v>2</v>
      </c>
      <c r="I126" s="5"/>
    </row>
    <row r="127" spans="1:9" x14ac:dyDescent="0.3">
      <c r="A127" s="4" t="s">
        <v>95</v>
      </c>
      <c r="B127" s="5">
        <v>23</v>
      </c>
      <c r="C127" s="5">
        <v>233</v>
      </c>
      <c r="D127" s="6">
        <f t="shared" si="11"/>
        <v>10.130434782608695</v>
      </c>
      <c r="E127" s="5">
        <v>2</v>
      </c>
      <c r="F127" s="5">
        <v>16</v>
      </c>
      <c r="G127" s="6">
        <f>IF(E127=0,0,F127/E127)</f>
        <v>8</v>
      </c>
      <c r="H127" s="5">
        <v>40</v>
      </c>
      <c r="I127" s="5"/>
    </row>
    <row r="128" spans="1:9" x14ac:dyDescent="0.3">
      <c r="A128" s="4" t="s">
        <v>96</v>
      </c>
      <c r="B128" s="5">
        <v>1</v>
      </c>
      <c r="C128" s="5">
        <v>3</v>
      </c>
      <c r="D128" s="6">
        <f t="shared" si="11"/>
        <v>3</v>
      </c>
      <c r="E128" s="5"/>
      <c r="F128" s="5"/>
      <c r="G128" s="6">
        <f>IF(E128=0,0,F128/E128)</f>
        <v>0</v>
      </c>
      <c r="H128" s="5"/>
      <c r="I128" s="5"/>
    </row>
    <row r="129" spans="1:9" s="12" customFormat="1" x14ac:dyDescent="0.3">
      <c r="A129" s="4" t="s">
        <v>422</v>
      </c>
      <c r="B129" s="4">
        <v>2</v>
      </c>
      <c r="C129" s="4">
        <f>31</f>
        <v>31</v>
      </c>
      <c r="D129" s="11">
        <f t="shared" si="11"/>
        <v>15.5</v>
      </c>
      <c r="E129" s="4"/>
      <c r="F129" s="4"/>
      <c r="G129" s="11"/>
      <c r="H129" s="4"/>
      <c r="I129" s="4"/>
    </row>
    <row r="130" spans="1:9" x14ac:dyDescent="0.3">
      <c r="A130" s="4" t="s">
        <v>97</v>
      </c>
      <c r="B130" s="5">
        <v>5</v>
      </c>
      <c r="C130" s="5">
        <v>28</v>
      </c>
      <c r="D130" s="6">
        <f t="shared" si="11"/>
        <v>5.6</v>
      </c>
      <c r="E130" s="5">
        <v>9</v>
      </c>
      <c r="F130" s="5">
        <v>145</v>
      </c>
      <c r="G130" s="6">
        <f t="shared" ref="G130:G155" si="12">IF(E130=0,0,F130/E130)</f>
        <v>16.111111111111111</v>
      </c>
      <c r="H130" s="5"/>
      <c r="I130" s="5"/>
    </row>
    <row r="131" spans="1:9" x14ac:dyDescent="0.3">
      <c r="A131" s="4" t="s">
        <v>98</v>
      </c>
      <c r="B131" s="5">
        <v>17</v>
      </c>
      <c r="C131" s="5">
        <v>332</v>
      </c>
      <c r="D131" s="6">
        <f t="shared" si="11"/>
        <v>19.529411764705884</v>
      </c>
      <c r="E131" s="5">
        <v>68</v>
      </c>
      <c r="F131" s="5">
        <v>673</v>
      </c>
      <c r="G131" s="6">
        <f t="shared" si="12"/>
        <v>9.8970588235294112</v>
      </c>
      <c r="H131" s="5">
        <v>7</v>
      </c>
      <c r="I131" s="5"/>
    </row>
    <row r="132" spans="1:9" x14ac:dyDescent="0.3">
      <c r="A132" s="4" t="s">
        <v>99</v>
      </c>
      <c r="B132" s="5">
        <v>14</v>
      </c>
      <c r="C132" s="5">
        <v>170</v>
      </c>
      <c r="D132" s="6">
        <f t="shared" si="11"/>
        <v>12.142857142857142</v>
      </c>
      <c r="E132" s="5">
        <v>57</v>
      </c>
      <c r="F132" s="5">
        <v>1296</v>
      </c>
      <c r="G132" s="6">
        <f t="shared" si="12"/>
        <v>22.736842105263158</v>
      </c>
      <c r="H132" s="5">
        <v>17</v>
      </c>
      <c r="I132" s="5"/>
    </row>
    <row r="133" spans="1:9" x14ac:dyDescent="0.3">
      <c r="A133" s="4" t="s">
        <v>100</v>
      </c>
      <c r="B133" s="5">
        <v>45</v>
      </c>
      <c r="C133" s="5">
        <v>260</v>
      </c>
      <c r="D133" s="6">
        <f t="shared" si="11"/>
        <v>5.7777777777777777</v>
      </c>
      <c r="E133" s="5">
        <v>229</v>
      </c>
      <c r="F133" s="5">
        <v>2232</v>
      </c>
      <c r="G133" s="6">
        <f t="shared" si="12"/>
        <v>9.7467248908296948</v>
      </c>
      <c r="H133" s="5">
        <v>20</v>
      </c>
      <c r="I133" s="5"/>
    </row>
    <row r="134" spans="1:9" x14ac:dyDescent="0.3">
      <c r="A134" s="4" t="s">
        <v>101</v>
      </c>
      <c r="B134" s="5">
        <v>25</v>
      </c>
      <c r="C134" s="5">
        <v>319</v>
      </c>
      <c r="D134" s="6">
        <f t="shared" si="11"/>
        <v>12.76</v>
      </c>
      <c r="E134" s="5">
        <v>6</v>
      </c>
      <c r="F134" s="5">
        <v>165</v>
      </c>
      <c r="G134" s="6">
        <f t="shared" si="12"/>
        <v>27.5</v>
      </c>
      <c r="H134" s="5">
        <v>4</v>
      </c>
      <c r="I134" s="5"/>
    </row>
    <row r="135" spans="1:9" x14ac:dyDescent="0.3">
      <c r="A135" s="4" t="s">
        <v>102</v>
      </c>
      <c r="B135" s="5">
        <v>16</v>
      </c>
      <c r="C135" s="5">
        <v>191</v>
      </c>
      <c r="D135" s="6">
        <f t="shared" si="11"/>
        <v>11.9375</v>
      </c>
      <c r="E135" s="5">
        <v>1</v>
      </c>
      <c r="F135" s="5">
        <v>14</v>
      </c>
      <c r="G135" s="6">
        <f t="shared" si="12"/>
        <v>14</v>
      </c>
      <c r="H135" s="5">
        <v>3</v>
      </c>
      <c r="I135" s="5"/>
    </row>
    <row r="136" spans="1:9" x14ac:dyDescent="0.3">
      <c r="A136" s="4" t="s">
        <v>103</v>
      </c>
      <c r="B136" s="5">
        <v>51</v>
      </c>
      <c r="C136" s="5">
        <v>1199</v>
      </c>
      <c r="D136" s="6">
        <f t="shared" si="11"/>
        <v>23.509803921568629</v>
      </c>
      <c r="E136" s="5">
        <v>8</v>
      </c>
      <c r="F136" s="5">
        <v>158</v>
      </c>
      <c r="G136" s="6">
        <f t="shared" si="12"/>
        <v>19.75</v>
      </c>
      <c r="H136" s="5">
        <v>10</v>
      </c>
      <c r="I136" s="5"/>
    </row>
    <row r="137" spans="1:9" s="12" customFormat="1" x14ac:dyDescent="0.3">
      <c r="A137" s="4" t="s">
        <v>104</v>
      </c>
      <c r="B137" s="4">
        <f>13+10</f>
        <v>23</v>
      </c>
      <c r="C137" s="4">
        <f>146+3+222+199</f>
        <v>570</v>
      </c>
      <c r="D137" s="11">
        <f t="shared" si="11"/>
        <v>24.782608695652176</v>
      </c>
      <c r="E137" s="4">
        <f>6+2+5+2</f>
        <v>15</v>
      </c>
      <c r="F137" s="4">
        <f>110+42+32+26</f>
        <v>210</v>
      </c>
      <c r="G137" s="11">
        <f t="shared" si="12"/>
        <v>14</v>
      </c>
      <c r="H137" s="4">
        <f>2+1+1</f>
        <v>4</v>
      </c>
      <c r="I137" s="4"/>
    </row>
    <row r="138" spans="1:9" x14ac:dyDescent="0.3">
      <c r="A138" s="4" t="s">
        <v>105</v>
      </c>
      <c r="B138" s="5">
        <f>13+4</f>
        <v>17</v>
      </c>
      <c r="C138" s="5">
        <f>184+70</f>
        <v>254</v>
      </c>
      <c r="D138" s="6">
        <f t="shared" si="11"/>
        <v>14.941176470588236</v>
      </c>
      <c r="E138" s="5">
        <f>66+12</f>
        <v>78</v>
      </c>
      <c r="F138" s="5">
        <f>987+197</f>
        <v>1184</v>
      </c>
      <c r="G138" s="6">
        <f t="shared" si="12"/>
        <v>15.179487179487179</v>
      </c>
      <c r="H138" s="5">
        <v>9</v>
      </c>
      <c r="I138" s="5"/>
    </row>
    <row r="139" spans="1:9" x14ac:dyDescent="0.3">
      <c r="A139" s="4" t="s">
        <v>106</v>
      </c>
      <c r="B139" s="5">
        <v>62</v>
      </c>
      <c r="C139" s="5">
        <v>1429</v>
      </c>
      <c r="D139" s="6">
        <f t="shared" si="11"/>
        <v>23.048387096774192</v>
      </c>
      <c r="E139" s="5">
        <v>20</v>
      </c>
      <c r="F139" s="5">
        <v>701</v>
      </c>
      <c r="G139" s="6">
        <f t="shared" si="12"/>
        <v>35.049999999999997</v>
      </c>
      <c r="H139" s="5">
        <v>73</v>
      </c>
      <c r="I139" s="5"/>
    </row>
    <row r="140" spans="1:9" x14ac:dyDescent="0.3">
      <c r="A140" s="4" t="s">
        <v>107</v>
      </c>
      <c r="B140" s="5">
        <v>2</v>
      </c>
      <c r="C140" s="5">
        <v>21</v>
      </c>
      <c r="D140" s="6">
        <f t="shared" si="11"/>
        <v>10.5</v>
      </c>
      <c r="E140" s="5"/>
      <c r="F140" s="5"/>
      <c r="G140" s="6">
        <f t="shared" si="12"/>
        <v>0</v>
      </c>
      <c r="H140" s="5"/>
      <c r="I140" s="5"/>
    </row>
    <row r="141" spans="1:9" x14ac:dyDescent="0.3">
      <c r="A141" s="4" t="s">
        <v>412</v>
      </c>
      <c r="B141" s="4">
        <v>4</v>
      </c>
      <c r="C141" s="4">
        <v>15</v>
      </c>
      <c r="D141" s="11">
        <f t="shared" si="11"/>
        <v>3.75</v>
      </c>
      <c r="E141" s="4">
        <v>5</v>
      </c>
      <c r="F141" s="4">
        <v>68</v>
      </c>
      <c r="G141" s="11">
        <f t="shared" si="12"/>
        <v>13.6</v>
      </c>
      <c r="H141" s="4"/>
      <c r="I141" s="4"/>
    </row>
    <row r="142" spans="1:9" x14ac:dyDescent="0.3">
      <c r="A142" s="4" t="s">
        <v>108</v>
      </c>
      <c r="B142" s="5">
        <v>9</v>
      </c>
      <c r="C142" s="5">
        <v>117</v>
      </c>
      <c r="D142" s="6">
        <f t="shared" si="11"/>
        <v>13</v>
      </c>
      <c r="E142" s="5">
        <v>9</v>
      </c>
      <c r="F142" s="5">
        <v>208</v>
      </c>
      <c r="G142" s="6">
        <f t="shared" si="12"/>
        <v>23.111111111111111</v>
      </c>
      <c r="H142" s="5">
        <v>6</v>
      </c>
      <c r="I142" s="5"/>
    </row>
    <row r="143" spans="1:9" x14ac:dyDescent="0.3">
      <c r="A143" s="4" t="s">
        <v>109</v>
      </c>
      <c r="B143" s="5">
        <v>3</v>
      </c>
      <c r="C143" s="5">
        <v>46</v>
      </c>
      <c r="D143" s="6">
        <f t="shared" si="11"/>
        <v>15.333333333333334</v>
      </c>
      <c r="E143" s="5">
        <v>7</v>
      </c>
      <c r="F143" s="5">
        <v>70</v>
      </c>
      <c r="G143" s="6">
        <f t="shared" si="12"/>
        <v>10</v>
      </c>
      <c r="H143" s="5">
        <v>2</v>
      </c>
      <c r="I143" s="5"/>
    </row>
    <row r="144" spans="1:9" x14ac:dyDescent="0.3">
      <c r="A144" s="4" t="s">
        <v>110</v>
      </c>
      <c r="B144" s="5">
        <v>35</v>
      </c>
      <c r="C144" s="5">
        <v>519</v>
      </c>
      <c r="D144" s="6">
        <f t="shared" si="11"/>
        <v>14.828571428571429</v>
      </c>
      <c r="E144" s="5">
        <v>3</v>
      </c>
      <c r="F144" s="5">
        <v>26</v>
      </c>
      <c r="G144" s="6">
        <f t="shared" si="12"/>
        <v>8.6666666666666661</v>
      </c>
      <c r="H144" s="5">
        <v>15</v>
      </c>
      <c r="I144" s="5"/>
    </row>
    <row r="145" spans="1:9" x14ac:dyDescent="0.3">
      <c r="A145" s="4" t="s">
        <v>111</v>
      </c>
      <c r="B145" s="5">
        <v>1</v>
      </c>
      <c r="C145" s="5">
        <v>39</v>
      </c>
      <c r="D145" s="6">
        <f t="shared" si="11"/>
        <v>39</v>
      </c>
      <c r="E145" s="5">
        <v>6</v>
      </c>
      <c r="F145" s="5">
        <v>125</v>
      </c>
      <c r="G145" s="6">
        <f t="shared" si="12"/>
        <v>20.833333333333332</v>
      </c>
      <c r="H145" s="5">
        <v>2</v>
      </c>
      <c r="I145" s="5"/>
    </row>
    <row r="146" spans="1:9" x14ac:dyDescent="0.3">
      <c r="A146" s="4" t="s">
        <v>112</v>
      </c>
      <c r="B146" s="5">
        <v>53</v>
      </c>
      <c r="C146" s="5">
        <v>1062</v>
      </c>
      <c r="D146" s="6">
        <f t="shared" si="11"/>
        <v>20.037735849056602</v>
      </c>
      <c r="E146" s="5">
        <v>7</v>
      </c>
      <c r="F146" s="5">
        <v>150</v>
      </c>
      <c r="G146" s="6">
        <f t="shared" si="12"/>
        <v>21.428571428571427</v>
      </c>
      <c r="H146" s="5">
        <v>16</v>
      </c>
      <c r="I146" s="5"/>
    </row>
    <row r="147" spans="1:9" x14ac:dyDescent="0.3">
      <c r="A147" s="4" t="s">
        <v>113</v>
      </c>
      <c r="B147" s="4">
        <f>13</f>
        <v>13</v>
      </c>
      <c r="C147" s="4">
        <f>235</f>
        <v>235</v>
      </c>
      <c r="D147" s="6">
        <f t="shared" si="11"/>
        <v>18.076923076923077</v>
      </c>
      <c r="E147" s="4">
        <f>9</f>
        <v>9</v>
      </c>
      <c r="F147" s="4">
        <f>447</f>
        <v>447</v>
      </c>
      <c r="G147" s="6">
        <f t="shared" si="12"/>
        <v>49.666666666666664</v>
      </c>
      <c r="H147" s="4">
        <f>5</f>
        <v>5</v>
      </c>
      <c r="I147" s="4"/>
    </row>
    <row r="148" spans="1:9" x14ac:dyDescent="0.3">
      <c r="A148" s="4" t="s">
        <v>114</v>
      </c>
      <c r="B148" s="5">
        <v>1</v>
      </c>
      <c r="C148" s="5">
        <v>15</v>
      </c>
      <c r="D148" s="6">
        <f t="shared" si="11"/>
        <v>15</v>
      </c>
      <c r="E148" s="5">
        <v>8</v>
      </c>
      <c r="F148" s="5">
        <v>85</v>
      </c>
      <c r="G148" s="6">
        <f t="shared" si="12"/>
        <v>10.625</v>
      </c>
      <c r="H148" s="5">
        <v>1</v>
      </c>
      <c r="I148" s="5"/>
    </row>
    <row r="149" spans="1:9" x14ac:dyDescent="0.3">
      <c r="A149" s="4" t="s">
        <v>115</v>
      </c>
      <c r="B149" s="13">
        <f>47+1+1+1</f>
        <v>50</v>
      </c>
      <c r="C149" s="13">
        <f>729+46+47+10</f>
        <v>832</v>
      </c>
      <c r="D149" s="6">
        <f t="shared" si="11"/>
        <v>16.64</v>
      </c>
      <c r="E149" s="13">
        <f>16+0+0</f>
        <v>16</v>
      </c>
      <c r="F149" s="13">
        <f>325+13+40</f>
        <v>378</v>
      </c>
      <c r="G149" s="6">
        <f t="shared" si="12"/>
        <v>23.625</v>
      </c>
      <c r="H149" s="13">
        <f>25+1</f>
        <v>26</v>
      </c>
      <c r="I149" s="13"/>
    </row>
    <row r="150" spans="1:9" x14ac:dyDescent="0.3">
      <c r="A150" s="4" t="s">
        <v>116</v>
      </c>
      <c r="B150" s="5">
        <v>20</v>
      </c>
      <c r="C150" s="5">
        <v>235</v>
      </c>
      <c r="D150" s="6">
        <f t="shared" si="11"/>
        <v>11.75</v>
      </c>
      <c r="E150" s="5">
        <v>6</v>
      </c>
      <c r="F150" s="5">
        <v>108</v>
      </c>
      <c r="G150" s="6">
        <f t="shared" si="12"/>
        <v>18</v>
      </c>
      <c r="H150" s="5">
        <v>3</v>
      </c>
      <c r="I150" s="5"/>
    </row>
    <row r="151" spans="1:9" x14ac:dyDescent="0.3">
      <c r="A151" s="4" t="s">
        <v>117</v>
      </c>
      <c r="B151" s="5">
        <v>4</v>
      </c>
      <c r="C151" s="5">
        <v>13</v>
      </c>
      <c r="D151" s="6">
        <f t="shared" si="11"/>
        <v>3.25</v>
      </c>
      <c r="E151" s="5">
        <v>1</v>
      </c>
      <c r="F151" s="5">
        <v>53</v>
      </c>
      <c r="G151" s="6">
        <f t="shared" si="12"/>
        <v>53</v>
      </c>
      <c r="H151" s="5"/>
      <c r="I151" s="5"/>
    </row>
    <row r="152" spans="1:9" s="9" customFormat="1" x14ac:dyDescent="0.3">
      <c r="A152" s="7" t="s">
        <v>118</v>
      </c>
      <c r="B152" s="7">
        <f>30+1+2</f>
        <v>33</v>
      </c>
      <c r="C152" s="7">
        <f>441+58+2+61+78</f>
        <v>640</v>
      </c>
      <c r="D152" s="8">
        <f t="shared" si="11"/>
        <v>19.393939393939394</v>
      </c>
      <c r="E152" s="7">
        <f>71+12+5+3</f>
        <v>91</v>
      </c>
      <c r="F152" s="7">
        <f>1193+16+60+38+73</f>
        <v>1380</v>
      </c>
      <c r="G152" s="8">
        <f t="shared" si="12"/>
        <v>15.164835164835164</v>
      </c>
      <c r="H152" s="7">
        <f>24+1</f>
        <v>25</v>
      </c>
      <c r="I152" s="7"/>
    </row>
    <row r="153" spans="1:9" x14ac:dyDescent="0.3">
      <c r="A153" s="4" t="s">
        <v>119</v>
      </c>
      <c r="B153" s="5">
        <v>2</v>
      </c>
      <c r="C153" s="5">
        <v>12</v>
      </c>
      <c r="D153" s="6">
        <f t="shared" si="11"/>
        <v>6</v>
      </c>
      <c r="E153" s="5">
        <v>11</v>
      </c>
      <c r="F153" s="5">
        <v>183</v>
      </c>
      <c r="G153" s="6">
        <f t="shared" si="12"/>
        <v>16.636363636363637</v>
      </c>
      <c r="H153" s="5">
        <v>2</v>
      </c>
      <c r="I153" s="5"/>
    </row>
    <row r="154" spans="1:9" x14ac:dyDescent="0.3">
      <c r="A154" s="4" t="s">
        <v>120</v>
      </c>
      <c r="B154" s="4">
        <f>0+6</f>
        <v>6</v>
      </c>
      <c r="C154" s="4">
        <f>0+81</f>
        <v>81</v>
      </c>
      <c r="D154" s="6">
        <f t="shared" si="11"/>
        <v>13.5</v>
      </c>
      <c r="E154" s="4">
        <f>0+1</f>
        <v>1</v>
      </c>
      <c r="F154" s="4">
        <f>0+156</f>
        <v>156</v>
      </c>
      <c r="G154" s="6">
        <f t="shared" si="12"/>
        <v>156</v>
      </c>
      <c r="H154" s="4">
        <f>0+3</f>
        <v>3</v>
      </c>
      <c r="I154" s="4"/>
    </row>
    <row r="155" spans="1:9" s="9" customFormat="1" x14ac:dyDescent="0.3">
      <c r="A155" s="7" t="s">
        <v>472</v>
      </c>
      <c r="B155" s="7">
        <f>4+4+9+15+3</f>
        <v>35</v>
      </c>
      <c r="C155" s="7">
        <f>27+40+83+120+84</f>
        <v>354</v>
      </c>
      <c r="D155" s="8">
        <f t="shared" si="11"/>
        <v>10.114285714285714</v>
      </c>
      <c r="E155" s="7">
        <f>0+2+3+1+6</f>
        <v>12</v>
      </c>
      <c r="F155" s="7">
        <f>0+53+53+29+23</f>
        <v>158</v>
      </c>
      <c r="G155" s="8">
        <f t="shared" si="12"/>
        <v>13.166666666666666</v>
      </c>
      <c r="H155" s="7">
        <f>2+1+2+1+1</f>
        <v>7</v>
      </c>
      <c r="I155" s="7"/>
    </row>
    <row r="156" spans="1:9" s="12" customFormat="1" x14ac:dyDescent="0.3">
      <c r="A156" s="4" t="s">
        <v>443</v>
      </c>
      <c r="B156" s="4">
        <v>9</v>
      </c>
      <c r="C156" s="4">
        <v>93</v>
      </c>
      <c r="D156" s="11">
        <f>C156/B156</f>
        <v>10.333333333333334</v>
      </c>
      <c r="E156" s="4">
        <f>5+3</f>
        <v>8</v>
      </c>
      <c r="F156" s="4">
        <f>26+227</f>
        <v>253</v>
      </c>
      <c r="G156" s="11">
        <f>F156/E156</f>
        <v>31.625</v>
      </c>
      <c r="H156" s="4">
        <v>4</v>
      </c>
      <c r="I156" s="4"/>
    </row>
    <row r="157" spans="1:9" x14ac:dyDescent="0.3">
      <c r="A157" s="4" t="s">
        <v>121</v>
      </c>
      <c r="B157" s="5">
        <v>94</v>
      </c>
      <c r="C157" s="5">
        <v>1599</v>
      </c>
      <c r="D157" s="6">
        <f t="shared" ref="D157:D169" si="13">IF(B157=0,0,C157/B157)</f>
        <v>17.01063829787234</v>
      </c>
      <c r="E157" s="5">
        <v>239</v>
      </c>
      <c r="F157" s="5">
        <v>2598</v>
      </c>
      <c r="G157" s="6">
        <f>IF(E157=0,0,F157/E157)</f>
        <v>10.870292887029288</v>
      </c>
      <c r="H157" s="5">
        <v>26</v>
      </c>
      <c r="I157" s="5"/>
    </row>
    <row r="158" spans="1:9" x14ac:dyDescent="0.3">
      <c r="A158" s="4" t="s">
        <v>122</v>
      </c>
      <c r="B158" s="5">
        <v>1</v>
      </c>
      <c r="C158" s="5">
        <v>4</v>
      </c>
      <c r="D158" s="6">
        <f t="shared" si="13"/>
        <v>4</v>
      </c>
      <c r="E158" s="5"/>
      <c r="F158" s="5"/>
      <c r="G158" s="6">
        <f>IF(E158=0,0,F158/E158)</f>
        <v>0</v>
      </c>
      <c r="H158" s="5"/>
      <c r="I158" s="5"/>
    </row>
    <row r="159" spans="1:9" s="9" customFormat="1" x14ac:dyDescent="0.3">
      <c r="A159" s="7" t="s">
        <v>516</v>
      </c>
      <c r="B159" s="7">
        <f>14</f>
        <v>14</v>
      </c>
      <c r="C159" s="7">
        <f>220</f>
        <v>220</v>
      </c>
      <c r="D159" s="8">
        <f t="shared" si="13"/>
        <v>15.714285714285714</v>
      </c>
      <c r="E159" s="7">
        <f>15</f>
        <v>15</v>
      </c>
      <c r="F159" s="7">
        <f>276</f>
        <v>276</v>
      </c>
      <c r="G159" s="8">
        <f>IF(E159=0,0,F159/E159)</f>
        <v>18.399999999999999</v>
      </c>
      <c r="H159" s="7">
        <f>6</f>
        <v>6</v>
      </c>
      <c r="I159" s="7"/>
    </row>
    <row r="160" spans="1:9" x14ac:dyDescent="0.3">
      <c r="A160" s="4" t="s">
        <v>439</v>
      </c>
      <c r="B160" s="5">
        <f>2+14</f>
        <v>16</v>
      </c>
      <c r="C160" s="5">
        <f>130+433</f>
        <v>563</v>
      </c>
      <c r="D160" s="6">
        <f t="shared" si="13"/>
        <v>35.1875</v>
      </c>
      <c r="E160" s="5">
        <f>11</f>
        <v>11</v>
      </c>
      <c r="F160" s="5">
        <v>133</v>
      </c>
      <c r="G160" s="6">
        <f>IF(E160=0,0,F160/E160)</f>
        <v>12.090909090909092</v>
      </c>
      <c r="H160" s="5">
        <f>2+7</f>
        <v>9</v>
      </c>
      <c r="I160" s="5" t="s">
        <v>454</v>
      </c>
    </row>
    <row r="161" spans="1:9" x14ac:dyDescent="0.3">
      <c r="A161" s="4" t="s">
        <v>123</v>
      </c>
      <c r="B161" s="5">
        <f>15+1</f>
        <v>16</v>
      </c>
      <c r="C161" s="5">
        <f>219+26</f>
        <v>245</v>
      </c>
      <c r="D161" s="6">
        <f t="shared" si="13"/>
        <v>15.3125</v>
      </c>
      <c r="E161" s="5">
        <f>65+6</f>
        <v>71</v>
      </c>
      <c r="F161" s="5">
        <f>1415+92</f>
        <v>1507</v>
      </c>
      <c r="G161" s="6">
        <f>IF(E161=0,0,F161/E161)</f>
        <v>21.225352112676056</v>
      </c>
      <c r="H161" s="5">
        <f>8+3</f>
        <v>11</v>
      </c>
      <c r="I161" s="5"/>
    </row>
    <row r="162" spans="1:9" s="12" customFormat="1" x14ac:dyDescent="0.3">
      <c r="A162" s="4" t="s">
        <v>503</v>
      </c>
      <c r="B162" s="4">
        <f>11+9+9+3+8+5+11</f>
        <v>56</v>
      </c>
      <c r="C162" s="4">
        <f>297+209+382+145+103+221+214</f>
        <v>1571</v>
      </c>
      <c r="D162" s="11">
        <f t="shared" si="13"/>
        <v>28.053571428571427</v>
      </c>
      <c r="E162" s="4">
        <f>39+11+33+14+8+30</f>
        <v>135</v>
      </c>
      <c r="F162" s="4">
        <f>623+262+180+391+138+444</f>
        <v>2038</v>
      </c>
      <c r="G162" s="11">
        <f>IF(E162=0,0,F162/E162)</f>
        <v>15.096296296296297</v>
      </c>
      <c r="H162" s="4">
        <v>9</v>
      </c>
      <c r="I162" s="4"/>
    </row>
    <row r="163" spans="1:9" s="12" customFormat="1" x14ac:dyDescent="0.3">
      <c r="A163" s="4" t="s">
        <v>502</v>
      </c>
      <c r="B163" s="4">
        <f>1</f>
        <v>1</v>
      </c>
      <c r="C163" s="4">
        <f>4</f>
        <v>4</v>
      </c>
      <c r="D163" s="11">
        <f t="shared" si="13"/>
        <v>4</v>
      </c>
      <c r="E163" s="4">
        <f>2</f>
        <v>2</v>
      </c>
      <c r="F163" s="4">
        <f>50</f>
        <v>50</v>
      </c>
      <c r="G163" s="11"/>
      <c r="H163" s="4">
        <f>2</f>
        <v>2</v>
      </c>
      <c r="I163" s="4"/>
    </row>
    <row r="164" spans="1:9" x14ac:dyDescent="0.3">
      <c r="A164" s="4" t="s">
        <v>124</v>
      </c>
      <c r="B164" s="5">
        <v>31</v>
      </c>
      <c r="C164" s="5">
        <v>939</v>
      </c>
      <c r="D164" s="6">
        <f t="shared" si="13"/>
        <v>30.29032258064516</v>
      </c>
      <c r="E164" s="5">
        <v>20</v>
      </c>
      <c r="F164" s="5">
        <v>344</v>
      </c>
      <c r="G164" s="6">
        <f>IF(E164=0,0,F164/E164)</f>
        <v>17.2</v>
      </c>
      <c r="H164" s="5">
        <v>24</v>
      </c>
      <c r="I164" s="5"/>
    </row>
    <row r="165" spans="1:9" x14ac:dyDescent="0.3">
      <c r="A165" s="4" t="s">
        <v>125</v>
      </c>
      <c r="B165" s="4">
        <v>48</v>
      </c>
      <c r="C165" s="4">
        <v>1410</v>
      </c>
      <c r="D165" s="6">
        <f t="shared" si="13"/>
        <v>29.375</v>
      </c>
      <c r="E165" s="4">
        <v>6</v>
      </c>
      <c r="F165" s="4">
        <v>248</v>
      </c>
      <c r="G165" s="6">
        <f>IF(E165=0,0,F165/E165)</f>
        <v>41.333333333333336</v>
      </c>
      <c r="H165" s="4">
        <v>29</v>
      </c>
      <c r="I165" s="4"/>
    </row>
    <row r="166" spans="1:9" x14ac:dyDescent="0.3">
      <c r="A166" s="4" t="s">
        <v>126</v>
      </c>
      <c r="B166" s="5">
        <v>10</v>
      </c>
      <c r="C166" s="5">
        <v>260</v>
      </c>
      <c r="D166" s="6">
        <f t="shared" si="13"/>
        <v>26</v>
      </c>
      <c r="E166" s="5">
        <v>3</v>
      </c>
      <c r="F166" s="5">
        <v>43</v>
      </c>
      <c r="G166" s="6">
        <f>IF(E166=0,0,F166/E166)</f>
        <v>14.333333333333334</v>
      </c>
      <c r="H166" s="5">
        <v>8</v>
      </c>
      <c r="I166" s="5"/>
    </row>
    <row r="167" spans="1:9" x14ac:dyDescent="0.3">
      <c r="A167" s="4" t="s">
        <v>127</v>
      </c>
      <c r="B167" s="5">
        <v>7</v>
      </c>
      <c r="C167" s="5">
        <v>105</v>
      </c>
      <c r="D167" s="6">
        <f t="shared" si="13"/>
        <v>15</v>
      </c>
      <c r="E167" s="5">
        <v>15</v>
      </c>
      <c r="F167" s="5">
        <v>335</v>
      </c>
      <c r="G167" s="6">
        <f>IF(E167=0,0,F167/E167)</f>
        <v>22.333333333333332</v>
      </c>
      <c r="H167" s="5">
        <v>3</v>
      </c>
      <c r="I167" s="5"/>
    </row>
    <row r="168" spans="1:9" x14ac:dyDescent="0.3">
      <c r="A168" s="4" t="s">
        <v>128</v>
      </c>
      <c r="B168" s="5">
        <v>2</v>
      </c>
      <c r="C168" s="5">
        <v>36</v>
      </c>
      <c r="D168" s="6">
        <f t="shared" si="13"/>
        <v>18</v>
      </c>
      <c r="E168" s="5"/>
      <c r="F168" s="5"/>
      <c r="G168" s="6">
        <f>IF(E168=0,0,F168/E168)</f>
        <v>0</v>
      </c>
      <c r="H168" s="5"/>
      <c r="I168" s="5"/>
    </row>
    <row r="169" spans="1:9" s="9" customFormat="1" x14ac:dyDescent="0.3">
      <c r="A169" s="7" t="s">
        <v>500</v>
      </c>
      <c r="B169" s="7">
        <f>4+17</f>
        <v>21</v>
      </c>
      <c r="C169" s="7">
        <f>32+184</f>
        <v>216</v>
      </c>
      <c r="D169" s="8">
        <f t="shared" si="13"/>
        <v>10.285714285714286</v>
      </c>
      <c r="E169" s="7">
        <f>3+7</f>
        <v>10</v>
      </c>
      <c r="F169" s="7">
        <f>142+280</f>
        <v>422</v>
      </c>
      <c r="G169" s="8">
        <f>IF(E169=0,0,F169/E169)</f>
        <v>42.2</v>
      </c>
      <c r="H169" s="7">
        <f>2+4</f>
        <v>6</v>
      </c>
      <c r="I169" s="7"/>
    </row>
    <row r="170" spans="1:9" s="9" customFormat="1" x14ac:dyDescent="0.3">
      <c r="A170" s="7" t="s">
        <v>517</v>
      </c>
      <c r="B170" s="7">
        <f>5</f>
        <v>5</v>
      </c>
      <c r="C170" s="7">
        <f>18</f>
        <v>18</v>
      </c>
      <c r="D170" s="8">
        <f t="shared" ref="D170:D194" si="14">IF(B170=0,0,C170/B170)</f>
        <v>3.6</v>
      </c>
      <c r="E170" s="7">
        <f>9</f>
        <v>9</v>
      </c>
      <c r="F170" s="7">
        <f>133</f>
        <v>133</v>
      </c>
      <c r="G170" s="8">
        <f t="shared" ref="G170:G191" si="15">IF(E170=0,0,F170/E170)</f>
        <v>14.777777777777779</v>
      </c>
      <c r="H170" s="7">
        <f>2</f>
        <v>2</v>
      </c>
      <c r="I170" s="7"/>
    </row>
    <row r="171" spans="1:9" x14ac:dyDescent="0.3">
      <c r="A171" s="4" t="s">
        <v>129</v>
      </c>
      <c r="B171" s="5"/>
      <c r="C171" s="5"/>
      <c r="D171" s="6">
        <f t="shared" si="14"/>
        <v>0</v>
      </c>
      <c r="E171" s="5">
        <v>13</v>
      </c>
      <c r="F171" s="5">
        <v>381</v>
      </c>
      <c r="G171" s="6">
        <f t="shared" si="15"/>
        <v>29.307692307692307</v>
      </c>
      <c r="H171" s="5">
        <v>6</v>
      </c>
      <c r="I171" s="5"/>
    </row>
    <row r="172" spans="1:9" x14ac:dyDescent="0.3">
      <c r="A172" s="4" t="s">
        <v>130</v>
      </c>
      <c r="B172" s="5">
        <v>2</v>
      </c>
      <c r="C172" s="5">
        <v>19</v>
      </c>
      <c r="D172" s="6">
        <f t="shared" si="14"/>
        <v>9.5</v>
      </c>
      <c r="E172" s="5"/>
      <c r="F172" s="5"/>
      <c r="G172" s="6">
        <f t="shared" si="15"/>
        <v>0</v>
      </c>
      <c r="H172" s="5"/>
      <c r="I172" s="5"/>
    </row>
    <row r="173" spans="1:9" x14ac:dyDescent="0.3">
      <c r="A173" s="4" t="s">
        <v>447</v>
      </c>
      <c r="B173" s="5">
        <v>5</v>
      </c>
      <c r="C173" s="5">
        <v>65</v>
      </c>
      <c r="D173" s="6">
        <f t="shared" si="14"/>
        <v>13</v>
      </c>
      <c r="E173" s="5"/>
      <c r="F173" s="5">
        <v>1</v>
      </c>
      <c r="G173" s="6">
        <f t="shared" si="15"/>
        <v>0</v>
      </c>
      <c r="H173" s="5">
        <v>2</v>
      </c>
      <c r="I173" s="5"/>
    </row>
    <row r="174" spans="1:9" x14ac:dyDescent="0.3">
      <c r="A174" s="4" t="s">
        <v>131</v>
      </c>
      <c r="B174" s="5">
        <v>0</v>
      </c>
      <c r="C174" s="5">
        <v>174</v>
      </c>
      <c r="D174" s="6">
        <f t="shared" si="14"/>
        <v>0</v>
      </c>
      <c r="E174" s="5">
        <v>13</v>
      </c>
      <c r="F174" s="5">
        <v>126</v>
      </c>
      <c r="G174" s="6">
        <f t="shared" si="15"/>
        <v>9.6923076923076916</v>
      </c>
      <c r="H174" s="5">
        <v>1</v>
      </c>
      <c r="I174" s="5"/>
    </row>
    <row r="175" spans="1:9" x14ac:dyDescent="0.3">
      <c r="A175" s="4" t="s">
        <v>132</v>
      </c>
      <c r="B175" s="5">
        <v>12</v>
      </c>
      <c r="C175" s="5">
        <v>187</v>
      </c>
      <c r="D175" s="6">
        <f t="shared" si="14"/>
        <v>15.583333333333334</v>
      </c>
      <c r="E175" s="5">
        <v>35</v>
      </c>
      <c r="F175" s="5">
        <v>287</v>
      </c>
      <c r="G175" s="6">
        <f t="shared" si="15"/>
        <v>8.1999999999999993</v>
      </c>
      <c r="H175" s="5">
        <v>2</v>
      </c>
      <c r="I175" s="5"/>
    </row>
    <row r="176" spans="1:9" x14ac:dyDescent="0.3">
      <c r="A176" s="4" t="s">
        <v>133</v>
      </c>
      <c r="B176" s="4">
        <f>12+1+3+2</f>
        <v>18</v>
      </c>
      <c r="C176" s="4">
        <f>421+113+70+25</f>
        <v>629</v>
      </c>
      <c r="D176" s="6">
        <f t="shared" si="14"/>
        <v>34.944444444444443</v>
      </c>
      <c r="E176" s="4">
        <f>16+1+15+0</f>
        <v>32</v>
      </c>
      <c r="F176" s="4">
        <f>274+8+181+32</f>
        <v>495</v>
      </c>
      <c r="G176" s="6">
        <f t="shared" si="15"/>
        <v>15.46875</v>
      </c>
      <c r="H176" s="4">
        <v>2</v>
      </c>
      <c r="I176" s="4"/>
    </row>
    <row r="177" spans="1:9" x14ac:dyDescent="0.3">
      <c r="A177" s="4" t="s">
        <v>134</v>
      </c>
      <c r="B177" s="4">
        <v>31</v>
      </c>
      <c r="C177" s="4">
        <v>594</v>
      </c>
      <c r="D177" s="11">
        <f t="shared" si="14"/>
        <v>19.161290322580644</v>
      </c>
      <c r="E177" s="4">
        <f>0</f>
        <v>0</v>
      </c>
      <c r="F177" s="4">
        <v>16</v>
      </c>
      <c r="G177" s="11">
        <f t="shared" si="15"/>
        <v>0</v>
      </c>
      <c r="H177" s="4">
        <v>47</v>
      </c>
      <c r="I177" s="4">
        <v>3</v>
      </c>
    </row>
    <row r="178" spans="1:9" x14ac:dyDescent="0.3">
      <c r="A178" s="4" t="s">
        <v>135</v>
      </c>
      <c r="B178" s="5">
        <v>7</v>
      </c>
      <c r="C178" s="5">
        <v>107</v>
      </c>
      <c r="D178" s="6">
        <f t="shared" si="14"/>
        <v>15.285714285714286</v>
      </c>
      <c r="E178" s="5">
        <v>16</v>
      </c>
      <c r="F178" s="5">
        <v>310</v>
      </c>
      <c r="G178" s="6">
        <f t="shared" si="15"/>
        <v>19.375</v>
      </c>
      <c r="H178" s="5">
        <v>5</v>
      </c>
      <c r="I178" s="5"/>
    </row>
    <row r="179" spans="1:9" x14ac:dyDescent="0.3">
      <c r="A179" s="4" t="s">
        <v>136</v>
      </c>
      <c r="B179" s="5">
        <v>12</v>
      </c>
      <c r="C179" s="5">
        <v>21</v>
      </c>
      <c r="D179" s="6">
        <f t="shared" si="14"/>
        <v>1.75</v>
      </c>
      <c r="E179" s="5"/>
      <c r="F179" s="5"/>
      <c r="G179" s="6">
        <f t="shared" si="15"/>
        <v>0</v>
      </c>
      <c r="H179" s="5">
        <v>1</v>
      </c>
      <c r="I179" s="5"/>
    </row>
    <row r="180" spans="1:9" x14ac:dyDescent="0.3">
      <c r="A180" s="4" t="s">
        <v>137</v>
      </c>
      <c r="B180" s="5">
        <v>86</v>
      </c>
      <c r="C180" s="5">
        <v>1794</v>
      </c>
      <c r="D180" s="6">
        <f t="shared" si="14"/>
        <v>20.86046511627907</v>
      </c>
      <c r="E180" s="5">
        <v>9</v>
      </c>
      <c r="F180" s="5">
        <v>128</v>
      </c>
      <c r="G180" s="6">
        <f t="shared" si="15"/>
        <v>14.222222222222221</v>
      </c>
      <c r="H180" s="5">
        <v>21</v>
      </c>
      <c r="I180" s="5"/>
    </row>
    <row r="181" spans="1:9" s="12" customFormat="1" x14ac:dyDescent="0.3">
      <c r="A181" s="4" t="s">
        <v>493</v>
      </c>
      <c r="B181" s="4">
        <f>1</f>
        <v>1</v>
      </c>
      <c r="C181" s="4">
        <f>6</f>
        <v>6</v>
      </c>
      <c r="D181" s="11">
        <f t="shared" si="14"/>
        <v>6</v>
      </c>
      <c r="E181" s="4">
        <f>2</f>
        <v>2</v>
      </c>
      <c r="F181" s="4">
        <f>66</f>
        <v>66</v>
      </c>
      <c r="G181" s="11">
        <f t="shared" si="15"/>
        <v>33</v>
      </c>
      <c r="H181" s="4">
        <f>1</f>
        <v>1</v>
      </c>
      <c r="I181" s="4"/>
    </row>
    <row r="182" spans="1:9" s="9" customFormat="1" x14ac:dyDescent="0.3">
      <c r="A182" s="7" t="s">
        <v>485</v>
      </c>
      <c r="B182" s="7">
        <f>13+13+2</f>
        <v>28</v>
      </c>
      <c r="C182" s="7">
        <f>302+615+72</f>
        <v>989</v>
      </c>
      <c r="D182" s="8">
        <f t="shared" si="14"/>
        <v>35.321428571428569</v>
      </c>
      <c r="E182" s="7">
        <f>1+5+1</f>
        <v>7</v>
      </c>
      <c r="F182" s="7">
        <f>47+166+30</f>
        <v>243</v>
      </c>
      <c r="G182" s="8">
        <f t="shared" si="15"/>
        <v>34.714285714285715</v>
      </c>
      <c r="H182" s="7">
        <f>12+4+1</f>
        <v>17</v>
      </c>
      <c r="I182" s="7"/>
    </row>
    <row r="183" spans="1:9" s="12" customFormat="1" x14ac:dyDescent="0.3">
      <c r="A183" s="4" t="s">
        <v>424</v>
      </c>
      <c r="B183" s="4">
        <f>4</f>
        <v>4</v>
      </c>
      <c r="C183" s="4">
        <f>9</f>
        <v>9</v>
      </c>
      <c r="D183" s="11">
        <f t="shared" si="14"/>
        <v>2.25</v>
      </c>
      <c r="E183" s="4">
        <f>1</f>
        <v>1</v>
      </c>
      <c r="F183" s="4">
        <f>38</f>
        <v>38</v>
      </c>
      <c r="G183" s="11">
        <f t="shared" si="15"/>
        <v>38</v>
      </c>
      <c r="H183" s="4">
        <v>4</v>
      </c>
      <c r="I183" s="4"/>
    </row>
    <row r="184" spans="1:9" s="9" customFormat="1" x14ac:dyDescent="0.3">
      <c r="A184" s="7" t="s">
        <v>523</v>
      </c>
      <c r="B184" s="7">
        <f>1</f>
        <v>1</v>
      </c>
      <c r="C184" s="7">
        <f>0</f>
        <v>0</v>
      </c>
      <c r="D184" s="8">
        <f t="shared" si="14"/>
        <v>0</v>
      </c>
      <c r="E184" s="7"/>
      <c r="F184" s="7"/>
      <c r="G184" s="8"/>
      <c r="H184" s="7"/>
      <c r="I184" s="7"/>
    </row>
    <row r="185" spans="1:9" x14ac:dyDescent="0.3">
      <c r="A185" s="4" t="s">
        <v>138</v>
      </c>
      <c r="B185" s="5">
        <v>6</v>
      </c>
      <c r="C185" s="5">
        <v>72</v>
      </c>
      <c r="D185" s="6">
        <f t="shared" si="14"/>
        <v>12</v>
      </c>
      <c r="E185" s="5">
        <v>4</v>
      </c>
      <c r="F185" s="5">
        <v>95</v>
      </c>
      <c r="G185" s="6">
        <f t="shared" si="15"/>
        <v>23.75</v>
      </c>
      <c r="H185" s="5">
        <v>3</v>
      </c>
      <c r="I185" s="5"/>
    </row>
    <row r="186" spans="1:9" x14ac:dyDescent="0.3">
      <c r="A186" s="4" t="s">
        <v>139</v>
      </c>
      <c r="B186" s="5">
        <v>2</v>
      </c>
      <c r="C186" s="5">
        <v>15</v>
      </c>
      <c r="D186" s="6">
        <f t="shared" si="14"/>
        <v>7.5</v>
      </c>
      <c r="E186" s="5"/>
      <c r="F186" s="5"/>
      <c r="G186" s="6">
        <f t="shared" si="15"/>
        <v>0</v>
      </c>
      <c r="H186" s="5"/>
      <c r="I186" s="5"/>
    </row>
    <row r="187" spans="1:9" x14ac:dyDescent="0.3">
      <c r="A187" s="4" t="s">
        <v>140</v>
      </c>
      <c r="B187" s="4">
        <f>8+4+2</f>
        <v>14</v>
      </c>
      <c r="C187" s="4">
        <f>79+79+43</f>
        <v>201</v>
      </c>
      <c r="D187" s="6">
        <f t="shared" si="14"/>
        <v>14.357142857142858</v>
      </c>
      <c r="E187" s="4">
        <f>26+4+12</f>
        <v>42</v>
      </c>
      <c r="F187" s="4">
        <f>447+111+226</f>
        <v>784</v>
      </c>
      <c r="G187" s="6">
        <f t="shared" si="15"/>
        <v>18.666666666666668</v>
      </c>
      <c r="H187" s="4">
        <f>5+1+4</f>
        <v>10</v>
      </c>
      <c r="I187" s="4"/>
    </row>
    <row r="188" spans="1:9" x14ac:dyDescent="0.3">
      <c r="A188" s="4" t="s">
        <v>141</v>
      </c>
      <c r="B188" s="5">
        <f>59+18+3+1</f>
        <v>81</v>
      </c>
      <c r="C188" s="5">
        <f>742+205+33+8</f>
        <v>988</v>
      </c>
      <c r="D188" s="6">
        <f t="shared" si="14"/>
        <v>12.197530864197532</v>
      </c>
      <c r="E188" s="5">
        <f>0+3+1</f>
        <v>4</v>
      </c>
      <c r="F188" s="5">
        <f>27+29+24</f>
        <v>80</v>
      </c>
      <c r="G188" s="6">
        <f t="shared" si="15"/>
        <v>20</v>
      </c>
      <c r="H188" s="5">
        <v>19</v>
      </c>
      <c r="I188" s="5"/>
    </row>
    <row r="189" spans="1:9" x14ac:dyDescent="0.3">
      <c r="A189" s="4" t="s">
        <v>142</v>
      </c>
      <c r="B189" s="5">
        <v>5</v>
      </c>
      <c r="C189" s="5">
        <v>30</v>
      </c>
      <c r="D189" s="6">
        <f t="shared" si="14"/>
        <v>6</v>
      </c>
      <c r="E189" s="5">
        <v>9</v>
      </c>
      <c r="F189" s="5">
        <v>275</v>
      </c>
      <c r="G189" s="6">
        <f t="shared" si="15"/>
        <v>30.555555555555557</v>
      </c>
      <c r="H189" s="5">
        <v>3</v>
      </c>
      <c r="I189" s="5"/>
    </row>
    <row r="190" spans="1:9" x14ac:dyDescent="0.3">
      <c r="A190" s="4" t="s">
        <v>142</v>
      </c>
      <c r="B190" s="5">
        <v>2</v>
      </c>
      <c r="C190" s="5">
        <v>1</v>
      </c>
      <c r="D190" s="6">
        <f t="shared" si="14"/>
        <v>0.5</v>
      </c>
      <c r="E190" s="5">
        <v>0</v>
      </c>
      <c r="F190" s="5">
        <v>10</v>
      </c>
      <c r="G190" s="6">
        <f t="shared" si="15"/>
        <v>0</v>
      </c>
      <c r="H190" s="5">
        <v>2</v>
      </c>
      <c r="I190" s="5"/>
    </row>
    <row r="191" spans="1:9" x14ac:dyDescent="0.3">
      <c r="A191" s="4" t="s">
        <v>143</v>
      </c>
      <c r="B191" s="5">
        <v>121</v>
      </c>
      <c r="C191" s="5">
        <v>2158</v>
      </c>
      <c r="D191" s="6">
        <f t="shared" si="14"/>
        <v>17.834710743801654</v>
      </c>
      <c r="E191" s="5">
        <v>139</v>
      </c>
      <c r="F191" s="5">
        <v>1709</v>
      </c>
      <c r="G191" s="6">
        <f t="shared" si="15"/>
        <v>12.294964028776979</v>
      </c>
      <c r="H191" s="5">
        <v>33</v>
      </c>
      <c r="I191" s="5"/>
    </row>
    <row r="192" spans="1:9" s="9" customFormat="1" x14ac:dyDescent="0.3">
      <c r="A192" s="7" t="s">
        <v>507</v>
      </c>
      <c r="B192" s="7">
        <f>3+11</f>
        <v>14</v>
      </c>
      <c r="C192" s="7">
        <f>12+185</f>
        <v>197</v>
      </c>
      <c r="D192" s="8">
        <f t="shared" si="14"/>
        <v>14.071428571428571</v>
      </c>
      <c r="E192" s="7"/>
      <c r="F192" s="7"/>
      <c r="G192" s="8"/>
      <c r="H192" s="7">
        <f>1+3</f>
        <v>4</v>
      </c>
      <c r="I192" s="7"/>
    </row>
    <row r="193" spans="1:9" x14ac:dyDescent="0.3">
      <c r="A193" s="4" t="s">
        <v>144</v>
      </c>
      <c r="B193" s="4">
        <f>13</f>
        <v>13</v>
      </c>
      <c r="C193" s="4">
        <f>280</f>
        <v>280</v>
      </c>
      <c r="D193" s="6">
        <f t="shared" si="14"/>
        <v>21.53846153846154</v>
      </c>
      <c r="E193" s="4">
        <f>6</f>
        <v>6</v>
      </c>
      <c r="F193" s="4">
        <f>182</f>
        <v>182</v>
      </c>
      <c r="G193" s="6">
        <f>IF(E193=0,0,F193/E193)</f>
        <v>30.333333333333332</v>
      </c>
      <c r="H193" s="4">
        <f>7</f>
        <v>7</v>
      </c>
      <c r="I193" s="4"/>
    </row>
    <row r="194" spans="1:9" x14ac:dyDescent="0.3">
      <c r="A194" s="4" t="s">
        <v>145</v>
      </c>
      <c r="B194" s="5">
        <v>3</v>
      </c>
      <c r="C194" s="5">
        <v>28</v>
      </c>
      <c r="D194" s="6">
        <f t="shared" si="14"/>
        <v>9.3333333333333339</v>
      </c>
      <c r="E194" s="5">
        <v>1</v>
      </c>
      <c r="F194" s="5">
        <v>5</v>
      </c>
      <c r="G194" s="6">
        <f>IF(E194=0,0,F194/E194)</f>
        <v>5</v>
      </c>
      <c r="H194" s="5"/>
      <c r="I194" s="5"/>
    </row>
    <row r="195" spans="1:9" x14ac:dyDescent="0.3">
      <c r="A195" s="4" t="s">
        <v>514</v>
      </c>
      <c r="B195" s="5">
        <f>0</f>
        <v>0</v>
      </c>
      <c r="C195" s="5"/>
      <c r="D195" s="6"/>
      <c r="E195" s="5"/>
      <c r="F195" s="5"/>
      <c r="G195" s="6"/>
      <c r="H195" s="5"/>
      <c r="I195" s="5"/>
    </row>
    <row r="196" spans="1:9" x14ac:dyDescent="0.3">
      <c r="A196" s="4" t="s">
        <v>146</v>
      </c>
      <c r="B196" s="5">
        <v>8</v>
      </c>
      <c r="C196" s="5">
        <v>23</v>
      </c>
      <c r="D196" s="6">
        <f t="shared" ref="D196:D234" si="16">IF(B196=0,0,C196/B196)</f>
        <v>2.875</v>
      </c>
      <c r="E196" s="5">
        <v>4</v>
      </c>
      <c r="F196" s="5">
        <v>103</v>
      </c>
      <c r="G196" s="6">
        <f t="shared" ref="G196:G221" si="17">IF(E196=0,0,F196/E196)</f>
        <v>25.75</v>
      </c>
      <c r="H196" s="5">
        <v>5</v>
      </c>
      <c r="I196" s="5"/>
    </row>
    <row r="197" spans="1:9" x14ac:dyDescent="0.3">
      <c r="A197" s="4" t="s">
        <v>147</v>
      </c>
      <c r="B197" s="4">
        <f>4+7+8+2+7+1</f>
        <v>29</v>
      </c>
      <c r="C197" s="4">
        <f>45+41+82+5+126+8</f>
        <v>307</v>
      </c>
      <c r="D197" s="6">
        <f t="shared" si="16"/>
        <v>10.586206896551724</v>
      </c>
      <c r="E197" s="4">
        <f>20+18+11+1+3+4</f>
        <v>57</v>
      </c>
      <c r="F197" s="4">
        <f>291+259+352+59+151+92</f>
        <v>1204</v>
      </c>
      <c r="G197" s="6">
        <f t="shared" si="17"/>
        <v>21.12280701754386</v>
      </c>
      <c r="H197" s="4">
        <f>5+2+4+1</f>
        <v>12</v>
      </c>
      <c r="I197" s="4"/>
    </row>
    <row r="198" spans="1:9" x14ac:dyDescent="0.3">
      <c r="A198" s="4" t="s">
        <v>423</v>
      </c>
      <c r="B198" s="4">
        <v>0</v>
      </c>
      <c r="C198" s="4">
        <f>9</f>
        <v>9</v>
      </c>
      <c r="D198" s="11">
        <f t="shared" si="16"/>
        <v>0</v>
      </c>
      <c r="E198" s="4">
        <v>1</v>
      </c>
      <c r="F198" s="4">
        <v>28</v>
      </c>
      <c r="G198" s="11">
        <f t="shared" si="17"/>
        <v>28</v>
      </c>
      <c r="H198" s="4">
        <v>1</v>
      </c>
      <c r="I198" s="4"/>
    </row>
    <row r="199" spans="1:9" s="12" customFormat="1" x14ac:dyDescent="0.3">
      <c r="A199" s="4" t="s">
        <v>148</v>
      </c>
      <c r="B199" s="5">
        <v>10</v>
      </c>
      <c r="C199" s="5">
        <v>170</v>
      </c>
      <c r="D199" s="6">
        <f t="shared" si="16"/>
        <v>17</v>
      </c>
      <c r="E199" s="5">
        <v>20</v>
      </c>
      <c r="F199" s="5">
        <v>257</v>
      </c>
      <c r="G199" s="6">
        <f t="shared" si="17"/>
        <v>12.85</v>
      </c>
      <c r="H199" s="5">
        <v>7</v>
      </c>
      <c r="I199" s="5"/>
    </row>
    <row r="200" spans="1:9" x14ac:dyDescent="0.3">
      <c r="A200" s="4" t="s">
        <v>149</v>
      </c>
      <c r="B200" s="5">
        <v>1</v>
      </c>
      <c r="C200" s="5">
        <v>1</v>
      </c>
      <c r="D200" s="6">
        <f t="shared" si="16"/>
        <v>1</v>
      </c>
      <c r="E200" s="5"/>
      <c r="F200" s="5"/>
      <c r="G200" s="6">
        <f t="shared" si="17"/>
        <v>0</v>
      </c>
      <c r="H200" s="5">
        <v>1</v>
      </c>
      <c r="I200" s="5"/>
    </row>
    <row r="201" spans="1:9" x14ac:dyDescent="0.3">
      <c r="A201" s="4" t="s">
        <v>150</v>
      </c>
      <c r="B201" s="5">
        <f>1</f>
        <v>1</v>
      </c>
      <c r="C201" s="5">
        <f>2</f>
        <v>2</v>
      </c>
      <c r="D201" s="6">
        <f t="shared" si="16"/>
        <v>2</v>
      </c>
      <c r="E201" s="5">
        <f>6</f>
        <v>6</v>
      </c>
      <c r="F201" s="5">
        <f>55</f>
        <v>55</v>
      </c>
      <c r="G201" s="6">
        <f t="shared" si="17"/>
        <v>9.1666666666666661</v>
      </c>
      <c r="H201" s="5">
        <f>0</f>
        <v>0</v>
      </c>
      <c r="I201" s="14"/>
    </row>
    <row r="202" spans="1:9" s="12" customFormat="1" x14ac:dyDescent="0.3">
      <c r="A202" s="4" t="s">
        <v>476</v>
      </c>
      <c r="B202" s="4">
        <f>1</f>
        <v>1</v>
      </c>
      <c r="C202" s="4">
        <f>5</f>
        <v>5</v>
      </c>
      <c r="D202" s="11">
        <f t="shared" si="16"/>
        <v>5</v>
      </c>
      <c r="E202" s="4">
        <f>14</f>
        <v>14</v>
      </c>
      <c r="F202" s="4">
        <f>221</f>
        <v>221</v>
      </c>
      <c r="G202" s="11">
        <f t="shared" si="17"/>
        <v>15.785714285714286</v>
      </c>
      <c r="H202" s="4">
        <f>1</f>
        <v>1</v>
      </c>
      <c r="I202" s="4"/>
    </row>
    <row r="203" spans="1:9" x14ac:dyDescent="0.3">
      <c r="A203" s="4" t="s">
        <v>151</v>
      </c>
      <c r="B203" s="4">
        <v>48</v>
      </c>
      <c r="C203" s="4">
        <v>1039</v>
      </c>
      <c r="D203" s="6">
        <f t="shared" si="16"/>
        <v>21.645833333333332</v>
      </c>
      <c r="E203" s="4">
        <v>3</v>
      </c>
      <c r="F203" s="4">
        <v>57</v>
      </c>
      <c r="G203" s="6">
        <f t="shared" si="17"/>
        <v>19</v>
      </c>
      <c r="H203" s="4">
        <v>30</v>
      </c>
      <c r="I203" s="4"/>
    </row>
    <row r="204" spans="1:9" x14ac:dyDescent="0.3">
      <c r="A204" s="4" t="s">
        <v>152</v>
      </c>
      <c r="B204" s="5">
        <v>5</v>
      </c>
      <c r="C204" s="5">
        <v>41</v>
      </c>
      <c r="D204" s="6">
        <f t="shared" si="16"/>
        <v>8.1999999999999993</v>
      </c>
      <c r="E204" s="5">
        <v>15</v>
      </c>
      <c r="F204" s="5">
        <v>223</v>
      </c>
      <c r="G204" s="6">
        <f t="shared" si="17"/>
        <v>14.866666666666667</v>
      </c>
      <c r="H204" s="5">
        <v>1</v>
      </c>
      <c r="I204" s="5"/>
    </row>
    <row r="205" spans="1:9" x14ac:dyDescent="0.3">
      <c r="A205" s="4" t="s">
        <v>153</v>
      </c>
      <c r="B205" s="5">
        <v>37</v>
      </c>
      <c r="C205" s="5">
        <v>577</v>
      </c>
      <c r="D205" s="6">
        <f t="shared" si="16"/>
        <v>15.594594594594595</v>
      </c>
      <c r="E205" s="5">
        <v>84</v>
      </c>
      <c r="F205" s="5">
        <v>1112</v>
      </c>
      <c r="G205" s="6">
        <f t="shared" si="17"/>
        <v>13.238095238095237</v>
      </c>
      <c r="H205" s="5">
        <v>32</v>
      </c>
      <c r="I205" s="5"/>
    </row>
    <row r="206" spans="1:9" x14ac:dyDescent="0.3">
      <c r="A206" s="4" t="s">
        <v>154</v>
      </c>
      <c r="B206" s="5">
        <v>21</v>
      </c>
      <c r="C206" s="5">
        <v>397</v>
      </c>
      <c r="D206" s="6">
        <f t="shared" si="16"/>
        <v>18.904761904761905</v>
      </c>
      <c r="E206" s="5">
        <v>3</v>
      </c>
      <c r="F206" s="5">
        <v>41</v>
      </c>
      <c r="G206" s="6">
        <f t="shared" si="17"/>
        <v>13.666666666666666</v>
      </c>
      <c r="H206" s="5">
        <v>6</v>
      </c>
      <c r="I206" s="5"/>
    </row>
    <row r="207" spans="1:9" x14ac:dyDescent="0.3">
      <c r="A207" s="4" t="s">
        <v>428</v>
      </c>
      <c r="B207" s="4">
        <v>1</v>
      </c>
      <c r="C207" s="4">
        <f>1</f>
        <v>1</v>
      </c>
      <c r="D207" s="11">
        <f t="shared" si="16"/>
        <v>1</v>
      </c>
      <c r="E207" s="4">
        <v>1</v>
      </c>
      <c r="F207" s="4">
        <v>20</v>
      </c>
      <c r="G207" s="11">
        <f t="shared" si="17"/>
        <v>20</v>
      </c>
      <c r="H207" s="4"/>
      <c r="I207" s="4"/>
    </row>
    <row r="208" spans="1:9" s="12" customFormat="1" x14ac:dyDescent="0.3">
      <c r="A208" s="4" t="s">
        <v>155</v>
      </c>
      <c r="B208" s="5">
        <v>9</v>
      </c>
      <c r="C208" s="5">
        <v>117</v>
      </c>
      <c r="D208" s="6">
        <f t="shared" si="16"/>
        <v>13</v>
      </c>
      <c r="E208" s="5"/>
      <c r="F208" s="5"/>
      <c r="G208" s="6">
        <f t="shared" si="17"/>
        <v>0</v>
      </c>
      <c r="H208" s="5">
        <v>1</v>
      </c>
      <c r="I208" s="5"/>
    </row>
    <row r="209" spans="1:9" x14ac:dyDescent="0.3">
      <c r="A209" s="4" t="s">
        <v>156</v>
      </c>
      <c r="B209" s="5">
        <v>11</v>
      </c>
      <c r="C209" s="5">
        <v>125</v>
      </c>
      <c r="D209" s="6">
        <f t="shared" si="16"/>
        <v>11.363636363636363</v>
      </c>
      <c r="E209" s="5"/>
      <c r="F209" s="5"/>
      <c r="G209" s="6">
        <f t="shared" si="17"/>
        <v>0</v>
      </c>
      <c r="H209" s="5">
        <v>2</v>
      </c>
      <c r="I209" s="5"/>
    </row>
    <row r="210" spans="1:9" x14ac:dyDescent="0.3">
      <c r="A210" s="4" t="s">
        <v>157</v>
      </c>
      <c r="B210" s="5">
        <v>12</v>
      </c>
      <c r="C210" s="5">
        <v>134</v>
      </c>
      <c r="D210" s="6">
        <f t="shared" si="16"/>
        <v>11.166666666666666</v>
      </c>
      <c r="E210" s="5">
        <v>21</v>
      </c>
      <c r="F210" s="5">
        <v>361</v>
      </c>
      <c r="G210" s="6">
        <f t="shared" si="17"/>
        <v>17.19047619047619</v>
      </c>
      <c r="H210" s="5">
        <v>3</v>
      </c>
      <c r="I210" s="5"/>
    </row>
    <row r="211" spans="1:9" x14ac:dyDescent="0.3">
      <c r="A211" s="4" t="s">
        <v>158</v>
      </c>
      <c r="B211" s="5">
        <f>1</f>
        <v>1</v>
      </c>
      <c r="C211" s="5">
        <f>6</f>
        <v>6</v>
      </c>
      <c r="D211" s="6">
        <f t="shared" si="16"/>
        <v>6</v>
      </c>
      <c r="E211" s="5">
        <v>0</v>
      </c>
      <c r="F211" s="5">
        <v>0</v>
      </c>
      <c r="G211" s="6">
        <f t="shared" si="17"/>
        <v>0</v>
      </c>
      <c r="H211" s="5">
        <v>0</v>
      </c>
      <c r="I211" s="5"/>
    </row>
    <row r="212" spans="1:9" x14ac:dyDescent="0.3">
      <c r="A212" s="4" t="s">
        <v>159</v>
      </c>
      <c r="B212" s="4">
        <f>7+9+7</f>
        <v>23</v>
      </c>
      <c r="C212" s="4">
        <f>61+103+174</f>
        <v>338</v>
      </c>
      <c r="D212" s="6">
        <f t="shared" si="16"/>
        <v>14.695652173913043</v>
      </c>
      <c r="E212" s="4">
        <f>12+13+9</f>
        <v>34</v>
      </c>
      <c r="F212" s="4">
        <f>189+356+126</f>
        <v>671</v>
      </c>
      <c r="G212" s="6">
        <f t="shared" si="17"/>
        <v>19.735294117647058</v>
      </c>
      <c r="H212" s="4">
        <f>2+9+3</f>
        <v>14</v>
      </c>
      <c r="I212" s="4"/>
    </row>
    <row r="213" spans="1:9" x14ac:dyDescent="0.3">
      <c r="A213" s="4" t="s">
        <v>415</v>
      </c>
      <c r="B213" s="4">
        <v>2</v>
      </c>
      <c r="C213" s="4">
        <v>18</v>
      </c>
      <c r="D213" s="11">
        <f t="shared" si="16"/>
        <v>9</v>
      </c>
      <c r="E213" s="4">
        <v>0</v>
      </c>
      <c r="F213" s="4">
        <v>26</v>
      </c>
      <c r="G213" s="11">
        <f t="shared" si="17"/>
        <v>0</v>
      </c>
      <c r="H213" s="4">
        <v>0</v>
      </c>
      <c r="I213" s="4"/>
    </row>
    <row r="214" spans="1:9" s="12" customFormat="1" x14ac:dyDescent="0.3">
      <c r="A214" s="4" t="s">
        <v>417</v>
      </c>
      <c r="B214" s="4">
        <v>1</v>
      </c>
      <c r="C214" s="4">
        <v>11</v>
      </c>
      <c r="D214" s="11">
        <f t="shared" si="16"/>
        <v>11</v>
      </c>
      <c r="E214" s="4">
        <v>0</v>
      </c>
      <c r="F214" s="4">
        <v>49</v>
      </c>
      <c r="G214" s="11">
        <f t="shared" si="17"/>
        <v>0</v>
      </c>
      <c r="H214" s="4">
        <v>0</v>
      </c>
      <c r="I214" s="4"/>
    </row>
    <row r="215" spans="1:9" x14ac:dyDescent="0.3">
      <c r="A215" s="4" t="s">
        <v>160</v>
      </c>
      <c r="B215" s="4">
        <f>10+5</f>
        <v>15</v>
      </c>
      <c r="C215" s="4">
        <f>198+132</f>
        <v>330</v>
      </c>
      <c r="D215" s="6">
        <f t="shared" si="16"/>
        <v>22</v>
      </c>
      <c r="E215" s="4">
        <f>3+0</f>
        <v>3</v>
      </c>
      <c r="F215" s="4">
        <f>65+8</f>
        <v>73</v>
      </c>
      <c r="G215" s="6">
        <f t="shared" si="17"/>
        <v>24.333333333333332</v>
      </c>
      <c r="H215" s="4">
        <f>1</f>
        <v>1</v>
      </c>
      <c r="I215" s="4"/>
    </row>
    <row r="216" spans="1:9" s="9" customFormat="1" x14ac:dyDescent="0.3">
      <c r="A216" s="7" t="s">
        <v>524</v>
      </c>
      <c r="B216" s="7">
        <f>1</f>
        <v>1</v>
      </c>
      <c r="C216" s="7">
        <f>46</f>
        <v>46</v>
      </c>
      <c r="D216" s="8">
        <f t="shared" si="16"/>
        <v>46</v>
      </c>
      <c r="E216" s="7">
        <f>0</f>
        <v>0</v>
      </c>
      <c r="F216" s="7">
        <f>12</f>
        <v>12</v>
      </c>
      <c r="G216" s="8" t="e">
        <f>F216/E216</f>
        <v>#DIV/0!</v>
      </c>
      <c r="H216" s="7"/>
      <c r="I216" s="7"/>
    </row>
    <row r="217" spans="1:9" s="9" customFormat="1" x14ac:dyDescent="0.3">
      <c r="A217" s="7" t="s">
        <v>522</v>
      </c>
      <c r="B217" s="7">
        <f>1</f>
        <v>1</v>
      </c>
      <c r="C217" s="7">
        <f>0</f>
        <v>0</v>
      </c>
      <c r="D217" s="8">
        <f t="shared" si="16"/>
        <v>0</v>
      </c>
      <c r="E217" s="7"/>
      <c r="F217" s="7"/>
      <c r="G217" s="8"/>
      <c r="H217" s="7"/>
      <c r="I217" s="7"/>
    </row>
    <row r="218" spans="1:9" x14ac:dyDescent="0.3">
      <c r="A218" s="4" t="s">
        <v>161</v>
      </c>
      <c r="B218" s="5">
        <v>7</v>
      </c>
      <c r="C218" s="5">
        <v>32</v>
      </c>
      <c r="D218" s="6">
        <f t="shared" si="16"/>
        <v>4.5714285714285712</v>
      </c>
      <c r="E218" s="5"/>
      <c r="F218" s="5"/>
      <c r="G218" s="6">
        <f t="shared" si="17"/>
        <v>0</v>
      </c>
      <c r="H218" s="5">
        <v>1</v>
      </c>
      <c r="I218" s="5"/>
    </row>
    <row r="219" spans="1:9" x14ac:dyDescent="0.3">
      <c r="A219" s="4" t="s">
        <v>162</v>
      </c>
      <c r="B219" s="4">
        <f>9+13+9+5+13</f>
        <v>49</v>
      </c>
      <c r="C219" s="4">
        <f>117+124+246+81+178</f>
        <v>746</v>
      </c>
      <c r="D219" s="6">
        <f t="shared" si="16"/>
        <v>15.224489795918368</v>
      </c>
      <c r="E219" s="4">
        <f>1+0</f>
        <v>1</v>
      </c>
      <c r="F219" s="4">
        <f>3+45</f>
        <v>48</v>
      </c>
      <c r="G219" s="6">
        <f t="shared" si="17"/>
        <v>48</v>
      </c>
      <c r="H219" s="4">
        <f>2+12+0+7</f>
        <v>21</v>
      </c>
      <c r="I219" s="4">
        <f>1</f>
        <v>1</v>
      </c>
    </row>
    <row r="220" spans="1:9" x14ac:dyDescent="0.3">
      <c r="A220" s="4" t="s">
        <v>163</v>
      </c>
      <c r="B220" s="5">
        <v>9</v>
      </c>
      <c r="C220" s="5">
        <v>92</v>
      </c>
      <c r="D220" s="6">
        <f t="shared" si="16"/>
        <v>10.222222222222221</v>
      </c>
      <c r="E220" s="5">
        <v>5</v>
      </c>
      <c r="F220" s="5">
        <v>96</v>
      </c>
      <c r="G220" s="6">
        <f t="shared" si="17"/>
        <v>19.2</v>
      </c>
      <c r="H220" s="5">
        <v>2</v>
      </c>
      <c r="I220" s="5"/>
    </row>
    <row r="221" spans="1:9" x14ac:dyDescent="0.3">
      <c r="A221" s="4" t="s">
        <v>164</v>
      </c>
      <c r="B221" s="5">
        <v>7</v>
      </c>
      <c r="C221" s="5">
        <v>27</v>
      </c>
      <c r="D221" s="6">
        <f t="shared" si="16"/>
        <v>3.8571428571428572</v>
      </c>
      <c r="E221" s="5">
        <v>1</v>
      </c>
      <c r="F221" s="5">
        <v>3</v>
      </c>
      <c r="G221" s="6">
        <f t="shared" si="17"/>
        <v>3</v>
      </c>
      <c r="H221" s="5">
        <v>2</v>
      </c>
      <c r="I221" s="5"/>
    </row>
    <row r="222" spans="1:9" s="9" customFormat="1" x14ac:dyDescent="0.3">
      <c r="A222" s="7" t="s">
        <v>489</v>
      </c>
      <c r="B222" s="7">
        <f>3+5+13</f>
        <v>21</v>
      </c>
      <c r="C222" s="7">
        <f>28+49+107</f>
        <v>184</v>
      </c>
      <c r="D222" s="8">
        <f t="shared" si="16"/>
        <v>8.7619047619047628</v>
      </c>
      <c r="E222" s="7"/>
      <c r="F222" s="7"/>
      <c r="G222" s="8"/>
      <c r="H222" s="7">
        <f>9+8</f>
        <v>17</v>
      </c>
      <c r="I222" s="7">
        <f>5+1</f>
        <v>6</v>
      </c>
    </row>
    <row r="223" spans="1:9" x14ac:dyDescent="0.3">
      <c r="A223" s="4" t="s">
        <v>165</v>
      </c>
      <c r="B223" s="4">
        <f>1</f>
        <v>1</v>
      </c>
      <c r="C223" s="4">
        <f>10</f>
        <v>10</v>
      </c>
      <c r="D223" s="6">
        <f t="shared" si="16"/>
        <v>10</v>
      </c>
      <c r="E223" s="4">
        <v>2</v>
      </c>
      <c r="F223" s="4">
        <v>70</v>
      </c>
      <c r="G223" s="6">
        <f t="shared" ref="G223:G234" si="18">IF(E223=0,0,F223/E223)</f>
        <v>35</v>
      </c>
      <c r="H223" s="4">
        <v>1</v>
      </c>
      <c r="I223" s="4"/>
    </row>
    <row r="224" spans="1:9" x14ac:dyDescent="0.3">
      <c r="A224" s="4" t="s">
        <v>166</v>
      </c>
      <c r="B224" s="5">
        <v>10</v>
      </c>
      <c r="C224" s="5">
        <v>71</v>
      </c>
      <c r="D224" s="6">
        <f t="shared" si="16"/>
        <v>7.1</v>
      </c>
      <c r="E224" s="5"/>
      <c r="F224" s="5"/>
      <c r="G224" s="6">
        <f t="shared" si="18"/>
        <v>0</v>
      </c>
      <c r="H224" s="5">
        <v>7</v>
      </c>
      <c r="I224" s="5"/>
    </row>
    <row r="225" spans="1:9" x14ac:dyDescent="0.3">
      <c r="A225" s="4" t="s">
        <v>167</v>
      </c>
      <c r="B225" s="5">
        <v>4</v>
      </c>
      <c r="C225" s="5">
        <v>9</v>
      </c>
      <c r="D225" s="6">
        <f t="shared" si="16"/>
        <v>2.25</v>
      </c>
      <c r="E225" s="5">
        <v>10</v>
      </c>
      <c r="F225" s="5">
        <v>133</v>
      </c>
      <c r="G225" s="6">
        <f t="shared" si="18"/>
        <v>13.3</v>
      </c>
      <c r="H225" s="5"/>
      <c r="I225" s="5"/>
    </row>
    <row r="226" spans="1:9" x14ac:dyDescent="0.3">
      <c r="A226" s="4" t="s">
        <v>168</v>
      </c>
      <c r="B226" s="5">
        <v>2</v>
      </c>
      <c r="C226" s="5">
        <v>48</v>
      </c>
      <c r="D226" s="6">
        <f t="shared" si="16"/>
        <v>24</v>
      </c>
      <c r="E226" s="5"/>
      <c r="F226" s="5"/>
      <c r="G226" s="6">
        <f t="shared" si="18"/>
        <v>0</v>
      </c>
      <c r="H226" s="5">
        <v>1</v>
      </c>
      <c r="I226" s="5"/>
    </row>
    <row r="227" spans="1:9" x14ac:dyDescent="0.3">
      <c r="A227" s="4" t="s">
        <v>169</v>
      </c>
      <c r="B227" s="5">
        <v>5</v>
      </c>
      <c r="C227" s="5">
        <v>126</v>
      </c>
      <c r="D227" s="6">
        <f t="shared" si="16"/>
        <v>25.2</v>
      </c>
      <c r="E227" s="5">
        <v>6</v>
      </c>
      <c r="F227" s="5">
        <v>145</v>
      </c>
      <c r="G227" s="6">
        <f t="shared" si="18"/>
        <v>24.166666666666668</v>
      </c>
      <c r="H227" s="5">
        <v>6</v>
      </c>
      <c r="I227" s="5"/>
    </row>
    <row r="228" spans="1:9" x14ac:dyDescent="0.3">
      <c r="A228" s="4" t="s">
        <v>170</v>
      </c>
      <c r="B228" s="5">
        <v>7</v>
      </c>
      <c r="C228" s="5">
        <v>36</v>
      </c>
      <c r="D228" s="6">
        <f t="shared" si="16"/>
        <v>5.1428571428571432</v>
      </c>
      <c r="E228" s="5"/>
      <c r="F228" s="5"/>
      <c r="G228" s="6">
        <f t="shared" si="18"/>
        <v>0</v>
      </c>
      <c r="H228" s="5"/>
      <c r="I228" s="5"/>
    </row>
    <row r="229" spans="1:9" x14ac:dyDescent="0.3">
      <c r="A229" s="4" t="s">
        <v>171</v>
      </c>
      <c r="B229" s="5">
        <v>3</v>
      </c>
      <c r="C229" s="5">
        <v>23</v>
      </c>
      <c r="D229" s="6">
        <f t="shared" si="16"/>
        <v>7.666666666666667</v>
      </c>
      <c r="E229" s="5"/>
      <c r="F229" s="5"/>
      <c r="G229" s="6">
        <f t="shared" si="18"/>
        <v>0</v>
      </c>
      <c r="H229" s="5"/>
      <c r="I229" s="5"/>
    </row>
    <row r="230" spans="1:9" x14ac:dyDescent="0.3">
      <c r="A230" s="4" t="s">
        <v>172</v>
      </c>
      <c r="B230" s="5">
        <f>36+15</f>
        <v>51</v>
      </c>
      <c r="C230" s="5">
        <f>577+327</f>
        <v>904</v>
      </c>
      <c r="D230" s="6">
        <f t="shared" si="16"/>
        <v>17.725490196078432</v>
      </c>
      <c r="E230" s="5">
        <f>15+7</f>
        <v>22</v>
      </c>
      <c r="F230" s="5">
        <f>223+238</f>
        <v>461</v>
      </c>
      <c r="G230" s="6">
        <f t="shared" si="18"/>
        <v>20.954545454545453</v>
      </c>
      <c r="H230" s="5">
        <f>16+9</f>
        <v>25</v>
      </c>
      <c r="I230" s="5"/>
    </row>
    <row r="231" spans="1:9" s="9" customFormat="1" x14ac:dyDescent="0.3">
      <c r="A231" s="7" t="s">
        <v>525</v>
      </c>
      <c r="B231" s="7">
        <f>2</f>
        <v>2</v>
      </c>
      <c r="C231" s="7">
        <f>35</f>
        <v>35</v>
      </c>
      <c r="D231" s="8">
        <f t="shared" si="16"/>
        <v>17.5</v>
      </c>
      <c r="E231" s="7"/>
      <c r="F231" s="7"/>
      <c r="G231" s="8"/>
      <c r="H231" s="7"/>
      <c r="I231" s="7"/>
    </row>
    <row r="232" spans="1:9" s="9" customFormat="1" x14ac:dyDescent="0.3">
      <c r="A232" s="7" t="s">
        <v>494</v>
      </c>
      <c r="B232" s="7">
        <f>1+0+3</f>
        <v>4</v>
      </c>
      <c r="C232" s="7">
        <f>3+21+39</f>
        <v>63</v>
      </c>
      <c r="D232" s="8">
        <f t="shared" si="16"/>
        <v>15.75</v>
      </c>
      <c r="E232" s="7">
        <f>1+1+0</f>
        <v>2</v>
      </c>
      <c r="F232" s="7">
        <f>28+31+32</f>
        <v>91</v>
      </c>
      <c r="G232" s="8">
        <f t="shared" si="18"/>
        <v>45.5</v>
      </c>
      <c r="H232" s="7">
        <f>1</f>
        <v>1</v>
      </c>
      <c r="I232" s="7"/>
    </row>
    <row r="233" spans="1:9" s="12" customFormat="1" x14ac:dyDescent="0.3">
      <c r="A233" s="4" t="s">
        <v>509</v>
      </c>
      <c r="B233" s="4">
        <f>9</f>
        <v>9</v>
      </c>
      <c r="C233" s="4">
        <f>56</f>
        <v>56</v>
      </c>
      <c r="D233" s="11">
        <f t="shared" si="16"/>
        <v>6.2222222222222223</v>
      </c>
      <c r="E233" s="4">
        <v>0</v>
      </c>
      <c r="F233" s="4">
        <f>30</f>
        <v>30</v>
      </c>
      <c r="G233" s="11">
        <f t="shared" si="18"/>
        <v>0</v>
      </c>
      <c r="H233" s="4"/>
      <c r="I233" s="4"/>
    </row>
    <row r="234" spans="1:9" x14ac:dyDescent="0.3">
      <c r="A234" s="4" t="s">
        <v>173</v>
      </c>
      <c r="B234" s="5">
        <v>7</v>
      </c>
      <c r="C234" s="5">
        <v>100</v>
      </c>
      <c r="D234" s="6">
        <f t="shared" si="16"/>
        <v>14.285714285714286</v>
      </c>
      <c r="E234" s="5">
        <v>2</v>
      </c>
      <c r="F234" s="5">
        <v>46</v>
      </c>
      <c r="G234" s="6">
        <f t="shared" si="18"/>
        <v>23</v>
      </c>
      <c r="H234" s="5">
        <v>3</v>
      </c>
      <c r="I234" s="5"/>
    </row>
    <row r="235" spans="1:9" x14ac:dyDescent="0.3">
      <c r="A235" s="4" t="s">
        <v>174</v>
      </c>
      <c r="B235" s="5">
        <v>15</v>
      </c>
      <c r="C235" s="5">
        <v>321</v>
      </c>
      <c r="D235" s="6">
        <f>IF(B235=0,0,C235/B235)</f>
        <v>21.4</v>
      </c>
      <c r="E235" s="5">
        <v>2</v>
      </c>
      <c r="F235" s="5">
        <v>24</v>
      </c>
      <c r="G235" s="6">
        <f>IF(E235=0,0,F235/E235)</f>
        <v>12</v>
      </c>
      <c r="H235" s="5">
        <v>6</v>
      </c>
      <c r="I235" s="5"/>
    </row>
    <row r="236" spans="1:9" x14ac:dyDescent="0.3">
      <c r="A236" s="4" t="s">
        <v>175</v>
      </c>
      <c r="B236" s="4">
        <f>72+12+10+1+2+6+8+10+11</f>
        <v>132</v>
      </c>
      <c r="C236" s="4">
        <f>2003+272+122+37+31+347+328+353+203</f>
        <v>3696</v>
      </c>
      <c r="D236" s="6">
        <f>IF(B236=0,0,C236/B236)</f>
        <v>28</v>
      </c>
      <c r="E236" s="4">
        <f>82+18+12+10+11+18+15+23</f>
        <v>189</v>
      </c>
      <c r="F236" s="4">
        <f>1253+247+172+100+166+314+284+534</f>
        <v>3070</v>
      </c>
      <c r="G236" s="6">
        <f>IF(E236=0,0,F236/E236)</f>
        <v>16.243386243386244</v>
      </c>
      <c r="H236" s="4">
        <f>25+4+7+3+3+4+1+1</f>
        <v>48</v>
      </c>
      <c r="I236" s="15"/>
    </row>
    <row r="237" spans="1:9" x14ac:dyDescent="0.3">
      <c r="A237" s="4" t="s">
        <v>176</v>
      </c>
      <c r="B237" s="4">
        <f>3+10+12+9</f>
        <v>34</v>
      </c>
      <c r="C237" s="4">
        <f>31+132+245+235</f>
        <v>643</v>
      </c>
      <c r="D237" s="6">
        <f>IF(B237=0,0,C237/B237)</f>
        <v>18.911764705882351</v>
      </c>
      <c r="E237" s="4">
        <v>0</v>
      </c>
      <c r="F237" s="4">
        <f>7+3</f>
        <v>10</v>
      </c>
      <c r="G237" s="6">
        <f>IF(E237=0,0,F237/E237)</f>
        <v>0</v>
      </c>
      <c r="H237" s="4">
        <f>2+7+8+2</f>
        <v>19</v>
      </c>
      <c r="I237" s="4"/>
    </row>
    <row r="238" spans="1:9" x14ac:dyDescent="0.3">
      <c r="A238" s="4" t="s">
        <v>177</v>
      </c>
      <c r="B238" s="5">
        <v>18</v>
      </c>
      <c r="C238" s="5">
        <v>244</v>
      </c>
      <c r="D238" s="6">
        <f>IF(B238=0,0,C238/B238)</f>
        <v>13.555555555555555</v>
      </c>
      <c r="E238" s="5">
        <v>37</v>
      </c>
      <c r="F238" s="5">
        <v>789</v>
      </c>
      <c r="G238" s="6">
        <f>IF(E238=0,0,F238/E238)</f>
        <v>21.324324324324323</v>
      </c>
      <c r="H238" s="5">
        <v>11</v>
      </c>
      <c r="I238" s="5"/>
    </row>
    <row r="239" spans="1:9" x14ac:dyDescent="0.3">
      <c r="A239" s="4" t="s">
        <v>178</v>
      </c>
      <c r="B239" s="5">
        <v>13</v>
      </c>
      <c r="C239" s="5">
        <v>211</v>
      </c>
      <c r="D239" s="6">
        <f>IF(B239=0,0,C239/B239)</f>
        <v>16.23076923076923</v>
      </c>
      <c r="E239" s="5">
        <v>28</v>
      </c>
      <c r="F239" s="5">
        <v>615</v>
      </c>
      <c r="G239" s="6">
        <f>IF(E239=0,0,F239/E239)</f>
        <v>21.964285714285715</v>
      </c>
      <c r="H239" s="5">
        <v>5</v>
      </c>
      <c r="I239" s="5"/>
    </row>
    <row r="240" spans="1:9" x14ac:dyDescent="0.3">
      <c r="A240" s="4" t="s">
        <v>456</v>
      </c>
      <c r="B240" s="5"/>
      <c r="C240" s="5"/>
      <c r="D240" s="6"/>
      <c r="E240" s="5"/>
      <c r="F240" s="5"/>
      <c r="G240" s="6"/>
      <c r="H240" s="5">
        <f>2</f>
        <v>2</v>
      </c>
      <c r="I240" s="5"/>
    </row>
    <row r="241" spans="1:9" x14ac:dyDescent="0.3">
      <c r="A241" s="4" t="s">
        <v>179</v>
      </c>
      <c r="B241" s="5">
        <v>15</v>
      </c>
      <c r="C241" s="5">
        <v>225</v>
      </c>
      <c r="D241" s="6">
        <f t="shared" ref="D241:D247" si="19">IF(B241=0,0,C241/B241)</f>
        <v>15</v>
      </c>
      <c r="E241" s="5"/>
      <c r="F241" s="5"/>
      <c r="G241" s="6">
        <f>IF(E241=0,0,F241/E241)</f>
        <v>0</v>
      </c>
      <c r="H241" s="5">
        <v>4</v>
      </c>
      <c r="I241" s="5"/>
    </row>
    <row r="242" spans="1:9" x14ac:dyDescent="0.3">
      <c r="A242" s="4" t="s">
        <v>442</v>
      </c>
      <c r="B242" s="5">
        <v>1</v>
      </c>
      <c r="C242" s="5">
        <v>9</v>
      </c>
      <c r="D242" s="6">
        <f t="shared" si="19"/>
        <v>9</v>
      </c>
      <c r="E242" s="5"/>
      <c r="F242" s="5"/>
      <c r="G242" s="6"/>
      <c r="H242" s="5">
        <v>1</v>
      </c>
      <c r="I242" s="5"/>
    </row>
    <row r="243" spans="1:9" x14ac:dyDescent="0.3">
      <c r="A243" s="4" t="s">
        <v>441</v>
      </c>
      <c r="B243" s="5">
        <v>29</v>
      </c>
      <c r="C243" s="5">
        <v>415</v>
      </c>
      <c r="D243" s="6">
        <f t="shared" si="19"/>
        <v>14.310344827586206</v>
      </c>
      <c r="E243" s="5">
        <v>0</v>
      </c>
      <c r="F243" s="5">
        <v>14</v>
      </c>
      <c r="G243" s="6">
        <f t="shared" ref="G243:G257" si="20">IF(E243=0,0,F243/E243)</f>
        <v>0</v>
      </c>
      <c r="H243" s="5">
        <v>49</v>
      </c>
      <c r="I243" s="5"/>
    </row>
    <row r="244" spans="1:9" x14ac:dyDescent="0.3">
      <c r="A244" s="4" t="s">
        <v>180</v>
      </c>
      <c r="B244" s="4">
        <f>0</f>
        <v>0</v>
      </c>
      <c r="C244" s="4">
        <f>0</f>
        <v>0</v>
      </c>
      <c r="D244" s="6">
        <f t="shared" si="19"/>
        <v>0</v>
      </c>
      <c r="E244" s="4">
        <f>2</f>
        <v>2</v>
      </c>
      <c r="F244" s="4">
        <f>30</f>
        <v>30</v>
      </c>
      <c r="G244" s="6">
        <f t="shared" si="20"/>
        <v>15</v>
      </c>
      <c r="H244" s="4">
        <f>1</f>
        <v>1</v>
      </c>
      <c r="I244" s="4"/>
    </row>
    <row r="245" spans="1:9" x14ac:dyDescent="0.3">
      <c r="A245" s="4" t="s">
        <v>181</v>
      </c>
      <c r="B245" s="4">
        <v>2</v>
      </c>
      <c r="C245" s="4">
        <v>10</v>
      </c>
      <c r="D245" s="6">
        <f t="shared" si="19"/>
        <v>5</v>
      </c>
      <c r="E245" s="4">
        <v>1</v>
      </c>
      <c r="F245" s="4">
        <v>22</v>
      </c>
      <c r="G245" s="6">
        <f t="shared" si="20"/>
        <v>22</v>
      </c>
      <c r="H245" s="4">
        <v>0</v>
      </c>
      <c r="I245" s="10"/>
    </row>
    <row r="246" spans="1:9" s="12" customFormat="1" x14ac:dyDescent="0.3">
      <c r="A246" s="4" t="s">
        <v>182</v>
      </c>
      <c r="B246" s="5">
        <v>32</v>
      </c>
      <c r="C246" s="5">
        <v>516</v>
      </c>
      <c r="D246" s="6">
        <f t="shared" si="19"/>
        <v>16.125</v>
      </c>
      <c r="E246" s="5">
        <v>28</v>
      </c>
      <c r="F246" s="5">
        <v>390</v>
      </c>
      <c r="G246" s="6">
        <f t="shared" si="20"/>
        <v>13.928571428571429</v>
      </c>
      <c r="H246" s="5">
        <v>15</v>
      </c>
      <c r="I246" s="5"/>
    </row>
    <row r="247" spans="1:9" s="12" customFormat="1" x14ac:dyDescent="0.3">
      <c r="A247" s="4" t="s">
        <v>475</v>
      </c>
      <c r="B247" s="4">
        <f>1</f>
        <v>1</v>
      </c>
      <c r="C247" s="4">
        <f>7</f>
        <v>7</v>
      </c>
      <c r="D247" s="11">
        <f t="shared" si="19"/>
        <v>7</v>
      </c>
      <c r="E247" s="4">
        <f>3</f>
        <v>3</v>
      </c>
      <c r="F247" s="4">
        <f>38</f>
        <v>38</v>
      </c>
      <c r="G247" s="11">
        <f t="shared" si="20"/>
        <v>12.666666666666666</v>
      </c>
      <c r="H247" s="4"/>
      <c r="I247" s="4"/>
    </row>
    <row r="248" spans="1:9" x14ac:dyDescent="0.3">
      <c r="A248" s="4" t="s">
        <v>498</v>
      </c>
      <c r="B248" s="4"/>
      <c r="C248" s="4"/>
      <c r="D248" s="11"/>
      <c r="E248" s="4">
        <f>2</f>
        <v>2</v>
      </c>
      <c r="F248" s="4">
        <f>59</f>
        <v>59</v>
      </c>
      <c r="G248" s="11">
        <f t="shared" si="20"/>
        <v>29.5</v>
      </c>
      <c r="H248" s="4"/>
      <c r="I248" s="4"/>
    </row>
    <row r="249" spans="1:9" x14ac:dyDescent="0.3">
      <c r="A249" s="4" t="s">
        <v>183</v>
      </c>
      <c r="B249" s="5"/>
      <c r="C249" s="5"/>
      <c r="D249" s="6">
        <f t="shared" ref="D249:D257" si="21">IF(B249=0,0,C249/B249)</f>
        <v>0</v>
      </c>
      <c r="E249" s="5">
        <v>3</v>
      </c>
      <c r="F249" s="5">
        <v>23</v>
      </c>
      <c r="G249" s="6">
        <f t="shared" si="20"/>
        <v>7.666666666666667</v>
      </c>
      <c r="H249" s="5">
        <v>2</v>
      </c>
      <c r="I249" s="5"/>
    </row>
    <row r="250" spans="1:9" x14ac:dyDescent="0.3">
      <c r="A250" s="4" t="s">
        <v>184</v>
      </c>
      <c r="B250" s="5">
        <f>21+2+1</f>
        <v>24</v>
      </c>
      <c r="C250" s="5">
        <f>282+72+35</f>
        <v>389</v>
      </c>
      <c r="D250" s="6">
        <f t="shared" si="21"/>
        <v>16.208333333333332</v>
      </c>
      <c r="E250" s="5">
        <v>0</v>
      </c>
      <c r="F250" s="5">
        <v>15</v>
      </c>
      <c r="G250" s="6">
        <f t="shared" si="20"/>
        <v>0</v>
      </c>
      <c r="H250" s="5">
        <f>10+1</f>
        <v>11</v>
      </c>
      <c r="I250" s="5"/>
    </row>
    <row r="251" spans="1:9" x14ac:dyDescent="0.3">
      <c r="A251" s="4" t="s">
        <v>185</v>
      </c>
      <c r="B251" s="5">
        <v>11</v>
      </c>
      <c r="C251" s="5">
        <v>200</v>
      </c>
      <c r="D251" s="6">
        <f t="shared" si="21"/>
        <v>18.181818181818183</v>
      </c>
      <c r="E251" s="5">
        <v>47</v>
      </c>
      <c r="F251" s="5">
        <v>607</v>
      </c>
      <c r="G251" s="6">
        <f t="shared" si="20"/>
        <v>12.914893617021276</v>
      </c>
      <c r="H251" s="5">
        <v>6</v>
      </c>
      <c r="I251" s="5"/>
    </row>
    <row r="252" spans="1:9" x14ac:dyDescent="0.3">
      <c r="A252" s="4" t="s">
        <v>185</v>
      </c>
      <c r="B252" s="5">
        <v>4</v>
      </c>
      <c r="C252" s="5">
        <v>13</v>
      </c>
      <c r="D252" s="6">
        <f t="shared" si="21"/>
        <v>3.25</v>
      </c>
      <c r="E252" s="5"/>
      <c r="F252" s="5"/>
      <c r="G252" s="6">
        <f t="shared" si="20"/>
        <v>0</v>
      </c>
      <c r="H252" s="5"/>
      <c r="I252" s="5"/>
    </row>
    <row r="253" spans="1:9" x14ac:dyDescent="0.3">
      <c r="A253" s="4" t="s">
        <v>186</v>
      </c>
      <c r="B253" s="5">
        <f>74+3+7+1+11+8</f>
        <v>104</v>
      </c>
      <c r="C253" s="5">
        <f>1450+179+216+13+244+214</f>
        <v>2316</v>
      </c>
      <c r="D253" s="6">
        <f t="shared" si="21"/>
        <v>22.26923076923077</v>
      </c>
      <c r="E253" s="5">
        <f>295+9+17+2+5+7</f>
        <v>335</v>
      </c>
      <c r="F253" s="5">
        <f>3812+69+208+15+108+131</f>
        <v>4343</v>
      </c>
      <c r="G253" s="6">
        <f t="shared" si="20"/>
        <v>12.964179104477612</v>
      </c>
      <c r="H253" s="5">
        <f>44+1+6+2+4</f>
        <v>57</v>
      </c>
      <c r="I253" s="5"/>
    </row>
    <row r="254" spans="1:9" x14ac:dyDescent="0.3">
      <c r="A254" s="4" t="s">
        <v>187</v>
      </c>
      <c r="B254" s="5">
        <v>7</v>
      </c>
      <c r="C254" s="5">
        <v>169</v>
      </c>
      <c r="D254" s="6">
        <f t="shared" si="21"/>
        <v>24.142857142857142</v>
      </c>
      <c r="E254" s="5">
        <v>2</v>
      </c>
      <c r="F254" s="5">
        <v>57</v>
      </c>
      <c r="G254" s="6">
        <f t="shared" si="20"/>
        <v>28.5</v>
      </c>
      <c r="H254" s="5">
        <v>2</v>
      </c>
      <c r="I254" s="5"/>
    </row>
    <row r="255" spans="1:9" x14ac:dyDescent="0.3">
      <c r="A255" s="4" t="s">
        <v>188</v>
      </c>
      <c r="B255" s="5">
        <v>1</v>
      </c>
      <c r="C255" s="5">
        <v>1</v>
      </c>
      <c r="D255" s="6">
        <f t="shared" si="21"/>
        <v>1</v>
      </c>
      <c r="E255" s="5">
        <v>1</v>
      </c>
      <c r="F255" s="5">
        <v>33</v>
      </c>
      <c r="G255" s="6">
        <f t="shared" si="20"/>
        <v>33</v>
      </c>
      <c r="H255" s="5">
        <v>1</v>
      </c>
      <c r="I255" s="5"/>
    </row>
    <row r="256" spans="1:9" x14ac:dyDescent="0.3">
      <c r="A256" s="4" t="s">
        <v>189</v>
      </c>
      <c r="B256" s="5">
        <v>105</v>
      </c>
      <c r="C256" s="5">
        <v>1448</v>
      </c>
      <c r="D256" s="6">
        <f t="shared" si="21"/>
        <v>13.790476190476191</v>
      </c>
      <c r="E256" s="5">
        <v>165</v>
      </c>
      <c r="F256" s="5">
        <v>2402</v>
      </c>
      <c r="G256" s="6">
        <f t="shared" si="20"/>
        <v>14.557575757575757</v>
      </c>
      <c r="H256" s="5">
        <v>39</v>
      </c>
      <c r="I256" s="5"/>
    </row>
    <row r="257" spans="1:9" s="12" customFormat="1" x14ac:dyDescent="0.3">
      <c r="A257" s="4" t="s">
        <v>413</v>
      </c>
      <c r="B257" s="5">
        <v>11</v>
      </c>
      <c r="C257" s="5">
        <v>74</v>
      </c>
      <c r="D257" s="6">
        <f t="shared" si="21"/>
        <v>6.7272727272727275</v>
      </c>
      <c r="E257" s="5">
        <v>1</v>
      </c>
      <c r="F257" s="5">
        <v>16</v>
      </c>
      <c r="G257" s="6">
        <f t="shared" si="20"/>
        <v>16</v>
      </c>
      <c r="H257" s="5">
        <v>8</v>
      </c>
      <c r="I257" s="5"/>
    </row>
    <row r="258" spans="1:9" x14ac:dyDescent="0.3">
      <c r="A258" s="4" t="s">
        <v>474</v>
      </c>
      <c r="B258" s="4"/>
      <c r="C258" s="4"/>
      <c r="D258" s="11"/>
      <c r="E258" s="4"/>
      <c r="F258" s="4"/>
      <c r="G258" s="11"/>
      <c r="H258" s="4">
        <f>1</f>
        <v>1</v>
      </c>
      <c r="I258" s="4"/>
    </row>
    <row r="259" spans="1:9" s="12" customFormat="1" x14ac:dyDescent="0.3">
      <c r="A259" s="4" t="s">
        <v>190</v>
      </c>
      <c r="B259" s="4">
        <f>1</f>
        <v>1</v>
      </c>
      <c r="C259" s="4">
        <f>0</f>
        <v>0</v>
      </c>
      <c r="D259" s="6">
        <f t="shared" ref="D259:D290" si="22">IF(B259=0,0,C259/B259)</f>
        <v>0</v>
      </c>
      <c r="E259" s="4">
        <f>0</f>
        <v>0</v>
      </c>
      <c r="F259" s="4">
        <f>0</f>
        <v>0</v>
      </c>
      <c r="G259" s="6">
        <f t="shared" ref="G259:G290" si="23">IF(E259=0,0,F259/E259)</f>
        <v>0</v>
      </c>
      <c r="H259" s="4">
        <f>0</f>
        <v>0</v>
      </c>
      <c r="I259" s="14"/>
    </row>
    <row r="260" spans="1:9" s="12" customFormat="1" x14ac:dyDescent="0.3">
      <c r="A260" s="4" t="s">
        <v>426</v>
      </c>
      <c r="B260" s="4">
        <v>1</v>
      </c>
      <c r="C260" s="4">
        <f>3</f>
        <v>3</v>
      </c>
      <c r="D260" s="11">
        <f t="shared" si="22"/>
        <v>3</v>
      </c>
      <c r="E260" s="4">
        <f>3</f>
        <v>3</v>
      </c>
      <c r="F260" s="4">
        <f>29</f>
        <v>29</v>
      </c>
      <c r="G260" s="11">
        <f t="shared" si="23"/>
        <v>9.6666666666666661</v>
      </c>
      <c r="H260" s="4"/>
      <c r="I260" s="4"/>
    </row>
    <row r="261" spans="1:9" x14ac:dyDescent="0.3">
      <c r="A261" s="4" t="s">
        <v>433</v>
      </c>
      <c r="B261" s="4">
        <v>1</v>
      </c>
      <c r="C261" s="4">
        <v>67</v>
      </c>
      <c r="D261" s="11">
        <f t="shared" si="22"/>
        <v>67</v>
      </c>
      <c r="E261" s="4">
        <v>3</v>
      </c>
      <c r="F261" s="4">
        <v>11</v>
      </c>
      <c r="G261" s="11">
        <f t="shared" si="23"/>
        <v>3.6666666666666665</v>
      </c>
      <c r="H261" s="4"/>
      <c r="I261" s="4"/>
    </row>
    <row r="262" spans="1:9" s="12" customFormat="1" x14ac:dyDescent="0.3">
      <c r="A262" s="4" t="s">
        <v>191</v>
      </c>
      <c r="B262" s="4">
        <v>2</v>
      </c>
      <c r="C262" s="4">
        <v>8</v>
      </c>
      <c r="D262" s="6">
        <f t="shared" si="22"/>
        <v>4</v>
      </c>
      <c r="E262" s="4">
        <v>27</v>
      </c>
      <c r="F262" s="4">
        <v>356</v>
      </c>
      <c r="G262" s="6">
        <f t="shared" si="23"/>
        <v>13.185185185185185</v>
      </c>
      <c r="H262" s="4">
        <v>1</v>
      </c>
      <c r="I262" s="4"/>
    </row>
    <row r="263" spans="1:9" x14ac:dyDescent="0.3">
      <c r="A263" s="4" t="s">
        <v>192</v>
      </c>
      <c r="B263" s="4">
        <f>45+2+1</f>
        <v>48</v>
      </c>
      <c r="C263" s="4">
        <f>492+99+47+0+0</f>
        <v>638</v>
      </c>
      <c r="D263" s="11">
        <f t="shared" si="22"/>
        <v>13.291666666666666</v>
      </c>
      <c r="E263" s="4">
        <f>98+27+24+33+17+26</f>
        <v>225</v>
      </c>
      <c r="F263" s="4">
        <f>1340+238+228+310+229+253</f>
        <v>2598</v>
      </c>
      <c r="G263" s="11">
        <f t="shared" si="23"/>
        <v>11.546666666666667</v>
      </c>
      <c r="H263" s="4">
        <f>25+4+1+8</f>
        <v>38</v>
      </c>
      <c r="I263" s="4"/>
    </row>
    <row r="264" spans="1:9" x14ac:dyDescent="0.3">
      <c r="A264" s="4" t="s">
        <v>193</v>
      </c>
      <c r="B264" s="5">
        <v>14</v>
      </c>
      <c r="C264" s="5">
        <v>381</v>
      </c>
      <c r="D264" s="6">
        <f t="shared" si="22"/>
        <v>27.214285714285715</v>
      </c>
      <c r="E264" s="5">
        <v>42</v>
      </c>
      <c r="F264" s="5">
        <v>647</v>
      </c>
      <c r="G264" s="6">
        <f t="shared" si="23"/>
        <v>15.404761904761905</v>
      </c>
      <c r="H264" s="5">
        <v>8</v>
      </c>
      <c r="I264" s="5"/>
    </row>
    <row r="265" spans="1:9" x14ac:dyDescent="0.3">
      <c r="A265" s="4" t="s">
        <v>194</v>
      </c>
      <c r="B265" s="5">
        <v>8</v>
      </c>
      <c r="C265" s="5">
        <v>146</v>
      </c>
      <c r="D265" s="6">
        <f t="shared" si="22"/>
        <v>18.25</v>
      </c>
      <c r="E265" s="5"/>
      <c r="F265" s="5"/>
      <c r="G265" s="6">
        <f t="shared" si="23"/>
        <v>0</v>
      </c>
      <c r="H265" s="5">
        <v>1</v>
      </c>
      <c r="I265" s="5"/>
    </row>
    <row r="266" spans="1:9" x14ac:dyDescent="0.3">
      <c r="A266" s="4" t="s">
        <v>450</v>
      </c>
      <c r="B266" s="5">
        <f>2</f>
        <v>2</v>
      </c>
      <c r="C266" s="5">
        <f>3</f>
        <v>3</v>
      </c>
      <c r="D266" s="6">
        <f t="shared" si="22"/>
        <v>1.5</v>
      </c>
      <c r="E266" s="5">
        <f>3</f>
        <v>3</v>
      </c>
      <c r="F266" s="5">
        <f>36</f>
        <v>36</v>
      </c>
      <c r="G266" s="6">
        <f t="shared" si="23"/>
        <v>12</v>
      </c>
      <c r="H266" s="5"/>
      <c r="I266" s="5"/>
    </row>
    <row r="267" spans="1:9" x14ac:dyDescent="0.3">
      <c r="A267" s="4" t="s">
        <v>195</v>
      </c>
      <c r="B267" s="5">
        <v>10</v>
      </c>
      <c r="C267" s="5">
        <v>132</v>
      </c>
      <c r="D267" s="6">
        <f t="shared" si="22"/>
        <v>13.2</v>
      </c>
      <c r="E267" s="5">
        <v>19</v>
      </c>
      <c r="F267" s="5">
        <v>217</v>
      </c>
      <c r="G267" s="6">
        <f t="shared" si="23"/>
        <v>11.421052631578947</v>
      </c>
      <c r="H267" s="5">
        <v>6</v>
      </c>
      <c r="I267" s="5"/>
    </row>
    <row r="268" spans="1:9" x14ac:dyDescent="0.3">
      <c r="A268" s="4" t="s">
        <v>196</v>
      </c>
      <c r="B268" s="5">
        <v>60</v>
      </c>
      <c r="C268" s="5">
        <v>1343</v>
      </c>
      <c r="D268" s="6">
        <f t="shared" si="22"/>
        <v>22.383333333333333</v>
      </c>
      <c r="E268" s="5">
        <v>41</v>
      </c>
      <c r="F268" s="5">
        <v>639</v>
      </c>
      <c r="G268" s="6">
        <f t="shared" si="23"/>
        <v>15.585365853658537</v>
      </c>
      <c r="H268" s="5">
        <v>26</v>
      </c>
      <c r="I268" s="5"/>
    </row>
    <row r="269" spans="1:9" x14ac:dyDescent="0.3">
      <c r="A269" s="4" t="s">
        <v>197</v>
      </c>
      <c r="B269" s="5">
        <v>20</v>
      </c>
      <c r="C269" s="5">
        <v>362</v>
      </c>
      <c r="D269" s="6">
        <f t="shared" si="22"/>
        <v>18.100000000000001</v>
      </c>
      <c r="E269" s="5"/>
      <c r="F269" s="5"/>
      <c r="G269" s="6">
        <f t="shared" si="23"/>
        <v>0</v>
      </c>
      <c r="H269" s="5">
        <v>4</v>
      </c>
      <c r="I269" s="5"/>
    </row>
    <row r="270" spans="1:9" s="12" customFormat="1" x14ac:dyDescent="0.3">
      <c r="A270" s="4" t="s">
        <v>198</v>
      </c>
      <c r="B270" s="4">
        <f>72+6+9+1+4+1+1</f>
        <v>94</v>
      </c>
      <c r="C270" s="4">
        <f>1915+110+248+239+148+74+44+71</f>
        <v>2849</v>
      </c>
      <c r="D270" s="11">
        <f t="shared" si="22"/>
        <v>30.308510638297872</v>
      </c>
      <c r="E270" s="4">
        <v>111</v>
      </c>
      <c r="F270" s="4">
        <v>2136</v>
      </c>
      <c r="G270" s="11">
        <f t="shared" si="23"/>
        <v>19.243243243243242</v>
      </c>
      <c r="H270" s="4">
        <f>50+4+1+1+2</f>
        <v>58</v>
      </c>
      <c r="I270" s="4"/>
    </row>
    <row r="271" spans="1:9" x14ac:dyDescent="0.3">
      <c r="A271" s="4" t="s">
        <v>199</v>
      </c>
      <c r="B271" s="5">
        <f>4</f>
        <v>4</v>
      </c>
      <c r="C271" s="5">
        <f>26</f>
        <v>26</v>
      </c>
      <c r="D271" s="6">
        <f t="shared" si="22"/>
        <v>6.5</v>
      </c>
      <c r="E271" s="5">
        <f>0</f>
        <v>0</v>
      </c>
      <c r="F271" s="5">
        <v>0</v>
      </c>
      <c r="G271" s="6">
        <f t="shared" si="23"/>
        <v>0</v>
      </c>
      <c r="H271" s="5">
        <f>3</f>
        <v>3</v>
      </c>
      <c r="I271" s="5"/>
    </row>
    <row r="272" spans="1:9" x14ac:dyDescent="0.3">
      <c r="A272" s="4" t="s">
        <v>200</v>
      </c>
      <c r="B272" s="5">
        <f>32+7</f>
        <v>39</v>
      </c>
      <c r="C272" s="5">
        <f>231+109</f>
        <v>340</v>
      </c>
      <c r="D272" s="6">
        <f t="shared" si="22"/>
        <v>8.7179487179487172</v>
      </c>
      <c r="E272" s="5">
        <f>127+18</f>
        <v>145</v>
      </c>
      <c r="F272" s="5">
        <f>2475+490</f>
        <v>2965</v>
      </c>
      <c r="G272" s="6">
        <f t="shared" si="23"/>
        <v>20.448275862068964</v>
      </c>
      <c r="H272" s="5">
        <f>20+3</f>
        <v>23</v>
      </c>
      <c r="I272" s="5"/>
    </row>
    <row r="273" spans="1:9" x14ac:dyDescent="0.3">
      <c r="A273" s="4" t="s">
        <v>201</v>
      </c>
      <c r="B273" s="5">
        <v>0</v>
      </c>
      <c r="C273" s="5">
        <v>4</v>
      </c>
      <c r="D273" s="6">
        <f t="shared" si="22"/>
        <v>0</v>
      </c>
      <c r="E273" s="5"/>
      <c r="F273" s="5"/>
      <c r="G273" s="6">
        <f t="shared" si="23"/>
        <v>0</v>
      </c>
      <c r="H273" s="5"/>
      <c r="I273" s="5"/>
    </row>
    <row r="274" spans="1:9" x14ac:dyDescent="0.3">
      <c r="A274" s="4" t="s">
        <v>202</v>
      </c>
      <c r="B274" s="5">
        <v>7</v>
      </c>
      <c r="C274" s="5">
        <v>145</v>
      </c>
      <c r="D274" s="6">
        <f t="shared" si="22"/>
        <v>20.714285714285715</v>
      </c>
      <c r="E274" s="5">
        <v>4</v>
      </c>
      <c r="F274" s="5">
        <v>142</v>
      </c>
      <c r="G274" s="6">
        <f t="shared" si="23"/>
        <v>35.5</v>
      </c>
      <c r="H274" s="5">
        <v>3</v>
      </c>
      <c r="I274" s="5"/>
    </row>
    <row r="275" spans="1:9" x14ac:dyDescent="0.3">
      <c r="A275" s="4" t="s">
        <v>203</v>
      </c>
      <c r="B275" s="4">
        <f>47+12+12+8+9+1</f>
        <v>89</v>
      </c>
      <c r="C275" s="4">
        <f>1611+332+336+186+243+7</f>
        <v>2715</v>
      </c>
      <c r="D275" s="6">
        <f t="shared" si="22"/>
        <v>30.50561797752809</v>
      </c>
      <c r="E275" s="4">
        <f>1+0</f>
        <v>1</v>
      </c>
      <c r="F275" s="4">
        <f>21+13+6+5</f>
        <v>45</v>
      </c>
      <c r="G275" s="6">
        <f t="shared" si="23"/>
        <v>45</v>
      </c>
      <c r="H275" s="4">
        <f>16+5+4+5</f>
        <v>30</v>
      </c>
      <c r="I275" s="4"/>
    </row>
    <row r="276" spans="1:9" x14ac:dyDescent="0.3">
      <c r="A276" s="4" t="s">
        <v>204</v>
      </c>
      <c r="B276" s="5">
        <v>9</v>
      </c>
      <c r="C276" s="5">
        <v>168</v>
      </c>
      <c r="D276" s="6">
        <f t="shared" si="22"/>
        <v>18.666666666666668</v>
      </c>
      <c r="E276" s="5">
        <v>1</v>
      </c>
      <c r="F276" s="5">
        <v>10</v>
      </c>
      <c r="G276" s="6">
        <f t="shared" si="23"/>
        <v>10</v>
      </c>
      <c r="H276" s="5">
        <v>2</v>
      </c>
      <c r="I276" s="5"/>
    </row>
    <row r="277" spans="1:9" x14ac:dyDescent="0.3">
      <c r="A277" s="4" t="s">
        <v>205</v>
      </c>
      <c r="B277" s="5">
        <v>7</v>
      </c>
      <c r="C277" s="5">
        <v>28</v>
      </c>
      <c r="D277" s="6">
        <f t="shared" si="22"/>
        <v>4</v>
      </c>
      <c r="E277" s="5">
        <v>17</v>
      </c>
      <c r="F277" s="5">
        <v>502</v>
      </c>
      <c r="G277" s="6">
        <f t="shared" si="23"/>
        <v>29.529411764705884</v>
      </c>
      <c r="H277" s="5">
        <v>6</v>
      </c>
      <c r="I277" s="5"/>
    </row>
    <row r="278" spans="1:9" s="9" customFormat="1" x14ac:dyDescent="0.3">
      <c r="A278" s="4" t="s">
        <v>206</v>
      </c>
      <c r="B278" s="5">
        <v>6</v>
      </c>
      <c r="C278" s="5">
        <v>88</v>
      </c>
      <c r="D278" s="6">
        <f t="shared" si="22"/>
        <v>14.666666666666666</v>
      </c>
      <c r="E278" s="5">
        <v>27</v>
      </c>
      <c r="F278" s="5">
        <v>299</v>
      </c>
      <c r="G278" s="6">
        <f t="shared" si="23"/>
        <v>11.074074074074074</v>
      </c>
      <c r="H278" s="5">
        <v>2</v>
      </c>
      <c r="I278" s="5"/>
    </row>
    <row r="279" spans="1:9" x14ac:dyDescent="0.3">
      <c r="A279" s="7" t="s">
        <v>207</v>
      </c>
      <c r="B279" s="7">
        <f>18+8</f>
        <v>26</v>
      </c>
      <c r="C279" s="7">
        <f>334+10+6+85</f>
        <v>435</v>
      </c>
      <c r="D279" s="8">
        <f t="shared" si="22"/>
        <v>16.73076923076923</v>
      </c>
      <c r="E279" s="7">
        <f>54+13+1+2+5+24</f>
        <v>99</v>
      </c>
      <c r="F279" s="7">
        <f>827+143+17+70+34+301</f>
        <v>1392</v>
      </c>
      <c r="G279" s="8">
        <f t="shared" si="23"/>
        <v>14.060606060606061</v>
      </c>
      <c r="H279" s="7">
        <f>10+1+5</f>
        <v>16</v>
      </c>
      <c r="I279" s="7"/>
    </row>
    <row r="280" spans="1:9" x14ac:dyDescent="0.3">
      <c r="A280" s="4" t="s">
        <v>208</v>
      </c>
      <c r="B280" s="5">
        <v>1</v>
      </c>
      <c r="C280" s="5">
        <v>2</v>
      </c>
      <c r="D280" s="6">
        <f t="shared" si="22"/>
        <v>2</v>
      </c>
      <c r="E280" s="5"/>
      <c r="F280" s="5"/>
      <c r="G280" s="6">
        <f t="shared" si="23"/>
        <v>0</v>
      </c>
      <c r="H280" s="5">
        <v>1</v>
      </c>
      <c r="I280" s="5"/>
    </row>
    <row r="281" spans="1:9" x14ac:dyDescent="0.3">
      <c r="A281" s="4" t="s">
        <v>209</v>
      </c>
      <c r="B281" s="5">
        <v>3</v>
      </c>
      <c r="C281" s="5">
        <v>49</v>
      </c>
      <c r="D281" s="6">
        <f t="shared" si="22"/>
        <v>16.333333333333332</v>
      </c>
      <c r="E281" s="5"/>
      <c r="F281" s="5"/>
      <c r="G281" s="6">
        <f t="shared" si="23"/>
        <v>0</v>
      </c>
      <c r="H281" s="5">
        <v>1</v>
      </c>
      <c r="I281" s="5"/>
    </row>
    <row r="282" spans="1:9" x14ac:dyDescent="0.3">
      <c r="A282" s="4" t="s">
        <v>210</v>
      </c>
      <c r="B282" s="5">
        <v>17</v>
      </c>
      <c r="C282" s="5">
        <v>676</v>
      </c>
      <c r="D282" s="6">
        <f t="shared" si="22"/>
        <v>39.764705882352942</v>
      </c>
      <c r="E282" s="5">
        <v>11</v>
      </c>
      <c r="F282" s="5">
        <v>143</v>
      </c>
      <c r="G282" s="6">
        <f t="shared" si="23"/>
        <v>13</v>
      </c>
      <c r="H282" s="5">
        <v>7</v>
      </c>
      <c r="I282" s="5"/>
    </row>
    <row r="283" spans="1:9" x14ac:dyDescent="0.3">
      <c r="A283" s="4" t="s">
        <v>211</v>
      </c>
      <c r="B283" s="5">
        <v>1</v>
      </c>
      <c r="C283" s="5">
        <v>8</v>
      </c>
      <c r="D283" s="6">
        <f t="shared" si="22"/>
        <v>8</v>
      </c>
      <c r="E283" s="5"/>
      <c r="F283" s="5"/>
      <c r="G283" s="6">
        <f t="shared" si="23"/>
        <v>0</v>
      </c>
      <c r="H283" s="5"/>
      <c r="I283" s="5"/>
    </row>
    <row r="284" spans="1:9" x14ac:dyDescent="0.3">
      <c r="A284" s="4" t="s">
        <v>212</v>
      </c>
      <c r="B284" s="5">
        <f>6+1+9</f>
        <v>16</v>
      </c>
      <c r="C284" s="5">
        <f>68+53</f>
        <v>121</v>
      </c>
      <c r="D284" s="6">
        <f t="shared" si="22"/>
        <v>7.5625</v>
      </c>
      <c r="E284" s="5">
        <f>2+7</f>
        <v>9</v>
      </c>
      <c r="F284" s="5">
        <f>21+168</f>
        <v>189</v>
      </c>
      <c r="G284" s="6">
        <f t="shared" si="23"/>
        <v>21</v>
      </c>
      <c r="H284" s="5">
        <f>3+1+3</f>
        <v>7</v>
      </c>
      <c r="I284" s="5"/>
    </row>
    <row r="285" spans="1:9" x14ac:dyDescent="0.3">
      <c r="A285" s="4" t="s">
        <v>213</v>
      </c>
      <c r="B285" s="5">
        <v>38</v>
      </c>
      <c r="C285" s="5">
        <v>301</v>
      </c>
      <c r="D285" s="6">
        <f t="shared" si="22"/>
        <v>7.9210526315789478</v>
      </c>
      <c r="E285" s="5">
        <v>117</v>
      </c>
      <c r="F285" s="5">
        <v>1037</v>
      </c>
      <c r="G285" s="6">
        <f t="shared" si="23"/>
        <v>8.8632478632478637</v>
      </c>
      <c r="H285" s="5">
        <v>4</v>
      </c>
      <c r="I285" s="5"/>
    </row>
    <row r="286" spans="1:9" x14ac:dyDescent="0.3">
      <c r="A286" s="4" t="s">
        <v>214</v>
      </c>
      <c r="B286" s="5">
        <v>1</v>
      </c>
      <c r="C286" s="5">
        <v>0</v>
      </c>
      <c r="D286" s="6">
        <f t="shared" si="22"/>
        <v>0</v>
      </c>
      <c r="E286" s="5"/>
      <c r="F286" s="5"/>
      <c r="G286" s="6">
        <f t="shared" si="23"/>
        <v>0</v>
      </c>
      <c r="H286" s="5">
        <v>1</v>
      </c>
      <c r="I286" s="5"/>
    </row>
    <row r="287" spans="1:9" x14ac:dyDescent="0.3">
      <c r="A287" s="4" t="s">
        <v>215</v>
      </c>
      <c r="B287" s="5"/>
      <c r="C287" s="5"/>
      <c r="D287" s="6">
        <f t="shared" si="22"/>
        <v>0</v>
      </c>
      <c r="E287" s="5">
        <v>21</v>
      </c>
      <c r="F287" s="5">
        <v>312</v>
      </c>
      <c r="G287" s="6">
        <f t="shared" si="23"/>
        <v>14.857142857142858</v>
      </c>
      <c r="H287" s="5">
        <v>27</v>
      </c>
      <c r="I287" s="5"/>
    </row>
    <row r="288" spans="1:9" x14ac:dyDescent="0.3">
      <c r="A288" s="4" t="s">
        <v>216</v>
      </c>
      <c r="B288" s="5">
        <v>23</v>
      </c>
      <c r="C288" s="5">
        <v>335</v>
      </c>
      <c r="D288" s="6">
        <f t="shared" si="22"/>
        <v>14.565217391304348</v>
      </c>
      <c r="E288" s="5"/>
      <c r="F288" s="5"/>
      <c r="G288" s="6">
        <f t="shared" si="23"/>
        <v>0</v>
      </c>
      <c r="H288" s="5">
        <v>17</v>
      </c>
      <c r="I288" s="5"/>
    </row>
    <row r="289" spans="1:9" x14ac:dyDescent="0.3">
      <c r="A289" s="4" t="s">
        <v>217</v>
      </c>
      <c r="B289" s="5">
        <f>5+1</f>
        <v>6</v>
      </c>
      <c r="C289" s="5">
        <f>2+3</f>
        <v>5</v>
      </c>
      <c r="D289" s="6">
        <f t="shared" si="22"/>
        <v>0.83333333333333337</v>
      </c>
      <c r="E289" s="5">
        <f>10+1</f>
        <v>11</v>
      </c>
      <c r="F289" s="5">
        <f>126+79</f>
        <v>205</v>
      </c>
      <c r="G289" s="6">
        <f t="shared" si="23"/>
        <v>18.636363636363637</v>
      </c>
      <c r="H289" s="5">
        <f>1+1</f>
        <v>2</v>
      </c>
      <c r="I289" s="5"/>
    </row>
    <row r="290" spans="1:9" x14ac:dyDescent="0.3">
      <c r="A290" s="4" t="s">
        <v>218</v>
      </c>
      <c r="B290" s="5">
        <v>6</v>
      </c>
      <c r="C290" s="5">
        <v>28</v>
      </c>
      <c r="D290" s="6">
        <f t="shared" si="22"/>
        <v>4.666666666666667</v>
      </c>
      <c r="E290" s="5">
        <v>8</v>
      </c>
      <c r="F290" s="5">
        <v>234</v>
      </c>
      <c r="G290" s="6">
        <f t="shared" si="23"/>
        <v>29.25</v>
      </c>
      <c r="H290" s="5"/>
      <c r="I290" s="5"/>
    </row>
    <row r="291" spans="1:9" x14ac:dyDescent="0.3">
      <c r="A291" s="4" t="s">
        <v>219</v>
      </c>
      <c r="B291" s="5">
        <v>13</v>
      </c>
      <c r="C291" s="5">
        <v>162</v>
      </c>
      <c r="D291" s="6">
        <f t="shared" ref="D291:D322" si="24">IF(B291=0,0,C291/B291)</f>
        <v>12.461538461538462</v>
      </c>
      <c r="E291" s="5">
        <v>39</v>
      </c>
      <c r="F291" s="5">
        <v>401</v>
      </c>
      <c r="G291" s="6">
        <f t="shared" ref="G291:G318" si="25">IF(E291=0,0,F291/E291)</f>
        <v>10.282051282051283</v>
      </c>
      <c r="H291" s="5">
        <v>8</v>
      </c>
      <c r="I291" s="5"/>
    </row>
    <row r="292" spans="1:9" x14ac:dyDescent="0.3">
      <c r="A292" s="4" t="s">
        <v>220</v>
      </c>
      <c r="B292" s="5">
        <v>30</v>
      </c>
      <c r="C292" s="5">
        <v>278</v>
      </c>
      <c r="D292" s="6">
        <f t="shared" si="24"/>
        <v>9.2666666666666675</v>
      </c>
      <c r="E292" s="5">
        <v>16</v>
      </c>
      <c r="F292" s="5">
        <v>330</v>
      </c>
      <c r="G292" s="6">
        <f t="shared" si="25"/>
        <v>20.625</v>
      </c>
      <c r="H292" s="5">
        <v>13</v>
      </c>
      <c r="I292" s="5"/>
    </row>
    <row r="293" spans="1:9" s="12" customFormat="1" x14ac:dyDescent="0.3">
      <c r="A293" s="4" t="s">
        <v>221</v>
      </c>
      <c r="B293" s="5">
        <v>11</v>
      </c>
      <c r="C293" s="5">
        <v>100</v>
      </c>
      <c r="D293" s="6">
        <f t="shared" si="24"/>
        <v>9.0909090909090917</v>
      </c>
      <c r="E293" s="5">
        <v>7</v>
      </c>
      <c r="F293" s="5">
        <v>132</v>
      </c>
      <c r="G293" s="6">
        <f t="shared" si="25"/>
        <v>18.857142857142858</v>
      </c>
      <c r="H293" s="5">
        <v>4</v>
      </c>
      <c r="I293" s="5"/>
    </row>
    <row r="294" spans="1:9" x14ac:dyDescent="0.3">
      <c r="A294" s="4" t="s">
        <v>222</v>
      </c>
      <c r="B294" s="4"/>
      <c r="C294" s="4"/>
      <c r="D294" s="11">
        <f t="shared" si="24"/>
        <v>0</v>
      </c>
      <c r="E294" s="4">
        <v>9</v>
      </c>
      <c r="F294" s="4">
        <v>184</v>
      </c>
      <c r="G294" s="11">
        <f t="shared" si="25"/>
        <v>20.444444444444443</v>
      </c>
      <c r="H294" s="4"/>
      <c r="I294" s="4"/>
    </row>
    <row r="295" spans="1:9" x14ac:dyDescent="0.3">
      <c r="A295" s="4" t="s">
        <v>223</v>
      </c>
      <c r="B295" s="5">
        <v>45</v>
      </c>
      <c r="C295" s="5">
        <v>1171</v>
      </c>
      <c r="D295" s="6">
        <f t="shared" si="24"/>
        <v>26.022222222222222</v>
      </c>
      <c r="E295" s="5">
        <v>1</v>
      </c>
      <c r="F295" s="5">
        <v>10</v>
      </c>
      <c r="G295" s="6">
        <f t="shared" si="25"/>
        <v>10</v>
      </c>
      <c r="H295" s="5">
        <v>21</v>
      </c>
      <c r="I295" s="5"/>
    </row>
    <row r="296" spans="1:9" s="12" customFormat="1" x14ac:dyDescent="0.3">
      <c r="A296" s="4" t="s">
        <v>224</v>
      </c>
      <c r="B296" s="5">
        <f>37+4+4</f>
        <v>45</v>
      </c>
      <c r="C296" s="5">
        <f>1713+84+137</f>
        <v>1934</v>
      </c>
      <c r="D296" s="6">
        <f t="shared" si="24"/>
        <v>42.977777777777774</v>
      </c>
      <c r="E296" s="5">
        <f>71+7+7</f>
        <v>85</v>
      </c>
      <c r="F296" s="5">
        <f>1036+120+125</f>
        <v>1281</v>
      </c>
      <c r="G296" s="6">
        <f t="shared" si="25"/>
        <v>15.070588235294117</v>
      </c>
      <c r="H296" s="5">
        <f>34+2+2</f>
        <v>38</v>
      </c>
      <c r="I296" s="5"/>
    </row>
    <row r="297" spans="1:9" x14ac:dyDescent="0.3">
      <c r="A297" s="4" t="s">
        <v>437</v>
      </c>
      <c r="B297" s="4">
        <v>6</v>
      </c>
      <c r="C297" s="4">
        <v>50</v>
      </c>
      <c r="D297" s="11">
        <f t="shared" si="24"/>
        <v>8.3333333333333339</v>
      </c>
      <c r="E297" s="4">
        <v>1</v>
      </c>
      <c r="F297" s="4">
        <v>111</v>
      </c>
      <c r="G297" s="11">
        <f t="shared" si="25"/>
        <v>111</v>
      </c>
      <c r="H297" s="4">
        <v>9</v>
      </c>
      <c r="I297" s="4"/>
    </row>
    <row r="298" spans="1:9" x14ac:dyDescent="0.3">
      <c r="A298" s="4" t="s">
        <v>225</v>
      </c>
      <c r="B298" s="5">
        <f>17+15+4+1</f>
        <v>37</v>
      </c>
      <c r="C298" s="5">
        <f>544+325+167+11</f>
        <v>1047</v>
      </c>
      <c r="D298" s="6">
        <f t="shared" si="24"/>
        <v>28.297297297297298</v>
      </c>
      <c r="E298" s="5">
        <f>20+1</f>
        <v>21</v>
      </c>
      <c r="F298" s="5">
        <f>305+9</f>
        <v>314</v>
      </c>
      <c r="G298" s="6">
        <f t="shared" si="25"/>
        <v>14.952380952380953</v>
      </c>
      <c r="H298" s="5">
        <f>37+8</f>
        <v>45</v>
      </c>
      <c r="I298" s="5">
        <v>1</v>
      </c>
    </row>
    <row r="299" spans="1:9" x14ac:dyDescent="0.3">
      <c r="A299" s="4" t="s">
        <v>226</v>
      </c>
      <c r="B299" s="5">
        <f>1+4</f>
        <v>5</v>
      </c>
      <c r="C299" s="5">
        <v>43</v>
      </c>
      <c r="D299" s="6">
        <f t="shared" si="24"/>
        <v>8.6</v>
      </c>
      <c r="E299" s="5">
        <v>0</v>
      </c>
      <c r="F299" s="5">
        <v>14</v>
      </c>
      <c r="G299" s="6">
        <f t="shared" si="25"/>
        <v>0</v>
      </c>
      <c r="H299" s="5">
        <v>3</v>
      </c>
      <c r="I299" s="5"/>
    </row>
    <row r="300" spans="1:9" x14ac:dyDescent="0.3">
      <c r="A300" s="4" t="s">
        <v>227</v>
      </c>
      <c r="B300" s="5"/>
      <c r="C300" s="5"/>
      <c r="D300" s="6">
        <f t="shared" si="24"/>
        <v>0</v>
      </c>
      <c r="E300" s="5"/>
      <c r="F300" s="5"/>
      <c r="G300" s="6">
        <f t="shared" si="25"/>
        <v>0</v>
      </c>
      <c r="H300" s="5">
        <v>1</v>
      </c>
      <c r="I300" s="5"/>
    </row>
    <row r="301" spans="1:9" x14ac:dyDescent="0.3">
      <c r="A301" s="4" t="s">
        <v>416</v>
      </c>
      <c r="B301" s="4">
        <v>5</v>
      </c>
      <c r="C301" s="4">
        <v>49</v>
      </c>
      <c r="D301" s="11">
        <f t="shared" si="24"/>
        <v>9.8000000000000007</v>
      </c>
      <c r="E301" s="4">
        <v>0</v>
      </c>
      <c r="F301" s="4">
        <v>30</v>
      </c>
      <c r="G301" s="11">
        <f t="shared" si="25"/>
        <v>0</v>
      </c>
      <c r="H301" s="4">
        <v>3</v>
      </c>
      <c r="I301" s="4"/>
    </row>
    <row r="302" spans="1:9" x14ac:dyDescent="0.3">
      <c r="A302" s="4" t="s">
        <v>228</v>
      </c>
      <c r="B302" s="4">
        <v>11</v>
      </c>
      <c r="C302" s="4">
        <v>194</v>
      </c>
      <c r="D302" s="11">
        <f t="shared" si="24"/>
        <v>17.636363636363637</v>
      </c>
      <c r="E302" s="4">
        <v>7</v>
      </c>
      <c r="F302" s="4">
        <v>271</v>
      </c>
      <c r="G302" s="11">
        <f t="shared" si="25"/>
        <v>38.714285714285715</v>
      </c>
      <c r="H302" s="4">
        <v>8</v>
      </c>
      <c r="I302" s="4"/>
    </row>
    <row r="303" spans="1:9" x14ac:dyDescent="0.3">
      <c r="A303" s="4" t="s">
        <v>229</v>
      </c>
      <c r="B303" s="5">
        <v>1</v>
      </c>
      <c r="C303" s="5">
        <v>9</v>
      </c>
      <c r="D303" s="6">
        <f t="shared" si="24"/>
        <v>9</v>
      </c>
      <c r="E303" s="5">
        <v>0</v>
      </c>
      <c r="F303" s="5">
        <v>0</v>
      </c>
      <c r="G303" s="6">
        <f t="shared" si="25"/>
        <v>0</v>
      </c>
      <c r="H303" s="5">
        <v>12</v>
      </c>
      <c r="I303" s="5"/>
    </row>
    <row r="304" spans="1:9" s="12" customFormat="1" x14ac:dyDescent="0.3">
      <c r="A304" s="4" t="s">
        <v>230</v>
      </c>
      <c r="B304" s="5">
        <v>13</v>
      </c>
      <c r="C304" s="5">
        <v>305</v>
      </c>
      <c r="D304" s="6">
        <f t="shared" si="24"/>
        <v>23.46153846153846</v>
      </c>
      <c r="E304" s="5">
        <v>0</v>
      </c>
      <c r="F304" s="5">
        <v>13</v>
      </c>
      <c r="G304" s="6">
        <f t="shared" si="25"/>
        <v>0</v>
      </c>
      <c r="H304" s="5">
        <v>5</v>
      </c>
      <c r="I304" s="5"/>
    </row>
    <row r="305" spans="1:9" x14ac:dyDescent="0.3">
      <c r="A305" s="4" t="s">
        <v>231</v>
      </c>
      <c r="B305" s="4">
        <f>6+9+12+1</f>
        <v>28</v>
      </c>
      <c r="C305" s="4">
        <f>66+199+273+67</f>
        <v>605</v>
      </c>
      <c r="D305" s="11">
        <f t="shared" si="24"/>
        <v>21.607142857142858</v>
      </c>
      <c r="E305" s="4">
        <f>1</f>
        <v>1</v>
      </c>
      <c r="F305" s="4">
        <f>4</f>
        <v>4</v>
      </c>
      <c r="G305" s="11">
        <f t="shared" si="25"/>
        <v>4</v>
      </c>
      <c r="H305" s="4">
        <v>53</v>
      </c>
      <c r="I305" s="4">
        <v>15</v>
      </c>
    </row>
    <row r="306" spans="1:9" x14ac:dyDescent="0.3">
      <c r="A306" s="4" t="s">
        <v>232</v>
      </c>
      <c r="B306" s="4">
        <v>127</v>
      </c>
      <c r="C306" s="4">
        <v>4244</v>
      </c>
      <c r="D306" s="6">
        <f t="shared" si="24"/>
        <v>33.417322834645667</v>
      </c>
      <c r="E306" s="4">
        <v>217</v>
      </c>
      <c r="F306" s="4">
        <v>3398</v>
      </c>
      <c r="G306" s="6">
        <f t="shared" si="25"/>
        <v>15.658986175115208</v>
      </c>
      <c r="H306" s="5">
        <v>85</v>
      </c>
      <c r="I306" s="5"/>
    </row>
    <row r="307" spans="1:9" s="12" customFormat="1" x14ac:dyDescent="0.3">
      <c r="A307" s="4" t="s">
        <v>233</v>
      </c>
      <c r="B307" s="5">
        <v>35</v>
      </c>
      <c r="C307" s="5">
        <v>717</v>
      </c>
      <c r="D307" s="6">
        <f t="shared" si="24"/>
        <v>20.485714285714284</v>
      </c>
      <c r="E307" s="5">
        <v>7</v>
      </c>
      <c r="F307" s="5">
        <v>69</v>
      </c>
      <c r="G307" s="6">
        <f t="shared" si="25"/>
        <v>9.8571428571428577</v>
      </c>
      <c r="H307" s="5">
        <v>22</v>
      </c>
      <c r="I307" s="5"/>
    </row>
    <row r="308" spans="1:9" x14ac:dyDescent="0.3">
      <c r="A308" s="4" t="s">
        <v>458</v>
      </c>
      <c r="B308" s="4">
        <f>1+9+2</f>
        <v>12</v>
      </c>
      <c r="C308" s="4">
        <f>10+173+11</f>
        <v>194</v>
      </c>
      <c r="D308" s="11">
        <f t="shared" si="24"/>
        <v>16.166666666666668</v>
      </c>
      <c r="E308" s="4">
        <f>3</f>
        <v>3</v>
      </c>
      <c r="F308" s="4">
        <f>30</f>
        <v>30</v>
      </c>
      <c r="G308" s="11">
        <f t="shared" si="25"/>
        <v>10</v>
      </c>
      <c r="H308" s="4">
        <f>2+4</f>
        <v>6</v>
      </c>
      <c r="I308" s="4"/>
    </row>
    <row r="309" spans="1:9" x14ac:dyDescent="0.3">
      <c r="A309" s="4" t="s">
        <v>234</v>
      </c>
      <c r="B309" s="5">
        <v>40</v>
      </c>
      <c r="C309" s="5">
        <v>719</v>
      </c>
      <c r="D309" s="6">
        <f t="shared" si="24"/>
        <v>17.975000000000001</v>
      </c>
      <c r="E309" s="5"/>
      <c r="F309" s="5"/>
      <c r="G309" s="6">
        <f t="shared" si="25"/>
        <v>0</v>
      </c>
      <c r="H309" s="5">
        <v>33</v>
      </c>
      <c r="I309" s="5"/>
    </row>
    <row r="310" spans="1:9" x14ac:dyDescent="0.3">
      <c r="A310" s="4" t="s">
        <v>235</v>
      </c>
      <c r="B310" s="5">
        <v>2</v>
      </c>
      <c r="C310" s="5">
        <v>3</v>
      </c>
      <c r="D310" s="6">
        <f t="shared" si="24"/>
        <v>1.5</v>
      </c>
      <c r="E310" s="5"/>
      <c r="F310" s="5"/>
      <c r="G310" s="6">
        <f t="shared" si="25"/>
        <v>0</v>
      </c>
      <c r="H310" s="5"/>
      <c r="I310" s="5"/>
    </row>
    <row r="311" spans="1:9" x14ac:dyDescent="0.3">
      <c r="A311" s="4" t="s">
        <v>236</v>
      </c>
      <c r="B311" s="5">
        <v>2</v>
      </c>
      <c r="C311" s="5">
        <v>27</v>
      </c>
      <c r="D311" s="6">
        <f t="shared" si="24"/>
        <v>13.5</v>
      </c>
      <c r="E311" s="5"/>
      <c r="F311" s="5"/>
      <c r="G311" s="6">
        <f t="shared" si="25"/>
        <v>0</v>
      </c>
      <c r="H311" s="5"/>
      <c r="I311" s="5"/>
    </row>
    <row r="312" spans="1:9" x14ac:dyDescent="0.3">
      <c r="A312" s="4" t="s">
        <v>409</v>
      </c>
      <c r="B312" s="5">
        <v>19</v>
      </c>
      <c r="C312" s="5">
        <v>283</v>
      </c>
      <c r="D312" s="6">
        <f t="shared" si="24"/>
        <v>14.894736842105264</v>
      </c>
      <c r="E312" s="5">
        <v>35</v>
      </c>
      <c r="F312" s="5">
        <v>562</v>
      </c>
      <c r="G312" s="6">
        <f t="shared" si="25"/>
        <v>16.057142857142857</v>
      </c>
      <c r="H312" s="5">
        <v>12</v>
      </c>
      <c r="I312" s="14"/>
    </row>
    <row r="313" spans="1:9" x14ac:dyDescent="0.3">
      <c r="A313" s="4" t="s">
        <v>237</v>
      </c>
      <c r="B313" s="5">
        <v>4</v>
      </c>
      <c r="C313" s="5">
        <v>30</v>
      </c>
      <c r="D313" s="6">
        <f t="shared" si="24"/>
        <v>7.5</v>
      </c>
      <c r="E313" s="5">
        <v>1</v>
      </c>
      <c r="F313" s="5">
        <v>25</v>
      </c>
      <c r="G313" s="6">
        <f t="shared" si="25"/>
        <v>25</v>
      </c>
      <c r="H313" s="5">
        <v>5</v>
      </c>
      <c r="I313" s="5"/>
    </row>
    <row r="314" spans="1:9" x14ac:dyDescent="0.3">
      <c r="A314" s="4" t="s">
        <v>436</v>
      </c>
      <c r="B314" s="5">
        <v>1</v>
      </c>
      <c r="C314" s="5">
        <v>92</v>
      </c>
      <c r="D314" s="6">
        <f t="shared" si="24"/>
        <v>92</v>
      </c>
      <c r="E314" s="5">
        <v>7</v>
      </c>
      <c r="F314" s="5">
        <v>37</v>
      </c>
      <c r="G314" s="6">
        <f t="shared" si="25"/>
        <v>5.2857142857142856</v>
      </c>
      <c r="H314" s="5">
        <v>1</v>
      </c>
      <c r="I314" s="5"/>
    </row>
    <row r="315" spans="1:9" x14ac:dyDescent="0.3">
      <c r="A315" s="4" t="s">
        <v>238</v>
      </c>
      <c r="B315" s="5">
        <v>1</v>
      </c>
      <c r="C315" s="5">
        <v>5</v>
      </c>
      <c r="D315" s="6">
        <f t="shared" si="24"/>
        <v>5</v>
      </c>
      <c r="E315" s="5">
        <v>0</v>
      </c>
      <c r="F315" s="5">
        <v>25</v>
      </c>
      <c r="G315" s="6">
        <f t="shared" si="25"/>
        <v>0</v>
      </c>
      <c r="H315" s="5">
        <v>1</v>
      </c>
      <c r="I315" s="5"/>
    </row>
    <row r="316" spans="1:9" x14ac:dyDescent="0.3">
      <c r="A316" s="4" t="s">
        <v>239</v>
      </c>
      <c r="B316" s="5">
        <f>7+2</f>
        <v>9</v>
      </c>
      <c r="C316" s="5">
        <f>65+13</f>
        <v>78</v>
      </c>
      <c r="D316" s="6">
        <f t="shared" si="24"/>
        <v>8.6666666666666661</v>
      </c>
      <c r="E316" s="5">
        <v>0</v>
      </c>
      <c r="F316" s="5">
        <v>1</v>
      </c>
      <c r="G316" s="6">
        <f t="shared" si="25"/>
        <v>0</v>
      </c>
      <c r="H316" s="5">
        <f>2+1</f>
        <v>3</v>
      </c>
      <c r="I316" s="5"/>
    </row>
    <row r="317" spans="1:9" s="9" customFormat="1" x14ac:dyDescent="0.3">
      <c r="A317" s="4" t="s">
        <v>240</v>
      </c>
      <c r="B317" s="4">
        <v>47</v>
      </c>
      <c r="C317" s="4">
        <v>1172</v>
      </c>
      <c r="D317" s="6">
        <f t="shared" si="24"/>
        <v>24.936170212765958</v>
      </c>
      <c r="E317" s="4">
        <v>17</v>
      </c>
      <c r="F317" s="4">
        <v>233</v>
      </c>
      <c r="G317" s="6">
        <f t="shared" si="25"/>
        <v>13.705882352941176</v>
      </c>
      <c r="H317" s="4">
        <v>13</v>
      </c>
      <c r="I317" s="4"/>
    </row>
    <row r="318" spans="1:9" s="12" customFormat="1" x14ac:dyDescent="0.3">
      <c r="A318" s="7" t="s">
        <v>468</v>
      </c>
      <c r="B318" s="7">
        <f>0+5+2+7+9+8+8</f>
        <v>39</v>
      </c>
      <c r="C318" s="7">
        <f>6+11+0+48+225+176+200</f>
        <v>666</v>
      </c>
      <c r="D318" s="8">
        <f t="shared" si="24"/>
        <v>17.076923076923077</v>
      </c>
      <c r="E318" s="7">
        <f>0+6+5+1+8+2</f>
        <v>22</v>
      </c>
      <c r="F318" s="7">
        <f>32+210+53+148+77</f>
        <v>520</v>
      </c>
      <c r="G318" s="8">
        <f t="shared" si="25"/>
        <v>23.636363636363637</v>
      </c>
      <c r="H318" s="7">
        <f>4+2+3+5+5+2</f>
        <v>21</v>
      </c>
      <c r="I318" s="7"/>
    </row>
    <row r="319" spans="1:9" x14ac:dyDescent="0.3">
      <c r="A319" s="4" t="s">
        <v>490</v>
      </c>
      <c r="B319" s="4">
        <f>2</f>
        <v>2</v>
      </c>
      <c r="C319" s="4">
        <f>15</f>
        <v>15</v>
      </c>
      <c r="D319" s="11">
        <f t="shared" si="24"/>
        <v>7.5</v>
      </c>
      <c r="E319" s="4"/>
      <c r="F319" s="4"/>
      <c r="G319" s="11"/>
      <c r="H319" s="4"/>
      <c r="I319" s="4"/>
    </row>
    <row r="320" spans="1:9" x14ac:dyDescent="0.3">
      <c r="A320" s="4" t="s">
        <v>241</v>
      </c>
      <c r="B320" s="5">
        <v>33</v>
      </c>
      <c r="C320" s="5">
        <v>629</v>
      </c>
      <c r="D320" s="6">
        <f t="shared" si="24"/>
        <v>19.060606060606062</v>
      </c>
      <c r="E320" s="5">
        <v>1</v>
      </c>
      <c r="F320" s="5">
        <v>106</v>
      </c>
      <c r="G320" s="6">
        <f t="shared" ref="G320:G351" si="26">IF(E320=0,0,F320/E320)</f>
        <v>106</v>
      </c>
      <c r="H320" s="5">
        <v>8</v>
      </c>
      <c r="I320" s="5"/>
    </row>
    <row r="321" spans="1:9" x14ac:dyDescent="0.3">
      <c r="A321" s="4" t="s">
        <v>242</v>
      </c>
      <c r="B321" s="5">
        <v>9</v>
      </c>
      <c r="C321" s="5">
        <v>42</v>
      </c>
      <c r="D321" s="6">
        <f t="shared" si="24"/>
        <v>4.666666666666667</v>
      </c>
      <c r="E321" s="5">
        <v>1</v>
      </c>
      <c r="F321" s="5">
        <v>17</v>
      </c>
      <c r="G321" s="6">
        <f t="shared" si="26"/>
        <v>17</v>
      </c>
      <c r="H321" s="5">
        <v>1</v>
      </c>
      <c r="I321" s="5"/>
    </row>
    <row r="322" spans="1:9" s="12" customFormat="1" x14ac:dyDescent="0.3">
      <c r="A322" s="4" t="s">
        <v>243</v>
      </c>
      <c r="B322" s="5">
        <f>2</f>
        <v>2</v>
      </c>
      <c r="C322" s="5">
        <f>61</f>
        <v>61</v>
      </c>
      <c r="D322" s="6">
        <f t="shared" si="24"/>
        <v>30.5</v>
      </c>
      <c r="E322" s="5">
        <v>0</v>
      </c>
      <c r="F322" s="5">
        <f>2</f>
        <v>2</v>
      </c>
      <c r="G322" s="6">
        <f t="shared" si="26"/>
        <v>0</v>
      </c>
      <c r="H322" s="5">
        <f>1</f>
        <v>1</v>
      </c>
      <c r="I322" s="5">
        <v>2</v>
      </c>
    </row>
    <row r="323" spans="1:9" x14ac:dyDescent="0.3">
      <c r="A323" s="4" t="s">
        <v>464</v>
      </c>
      <c r="B323" s="4">
        <f>6+3</f>
        <v>9</v>
      </c>
      <c r="C323" s="4">
        <f>199+56</f>
        <v>255</v>
      </c>
      <c r="D323" s="11">
        <f t="shared" ref="D323:D354" si="27">IF(B323=0,0,C323/B323)</f>
        <v>28.333333333333332</v>
      </c>
      <c r="E323" s="4">
        <f>1</f>
        <v>1</v>
      </c>
      <c r="F323" s="4">
        <f>52</f>
        <v>52</v>
      </c>
      <c r="G323" s="11">
        <f t="shared" si="26"/>
        <v>52</v>
      </c>
      <c r="H323" s="4">
        <f>5+2</f>
        <v>7</v>
      </c>
      <c r="I323" s="4"/>
    </row>
    <row r="324" spans="1:9" x14ac:dyDescent="0.3">
      <c r="A324" s="4" t="s">
        <v>244</v>
      </c>
      <c r="B324" s="5">
        <v>15</v>
      </c>
      <c r="C324" s="5">
        <v>280</v>
      </c>
      <c r="D324" s="6">
        <f t="shared" si="27"/>
        <v>18.666666666666668</v>
      </c>
      <c r="E324" s="5"/>
      <c r="F324" s="5"/>
      <c r="G324" s="6">
        <f t="shared" si="26"/>
        <v>0</v>
      </c>
      <c r="H324" s="5">
        <v>21</v>
      </c>
      <c r="I324" s="5"/>
    </row>
    <row r="325" spans="1:9" x14ac:dyDescent="0.3">
      <c r="A325" s="4" t="s">
        <v>245</v>
      </c>
      <c r="B325" s="5">
        <v>4</v>
      </c>
      <c r="C325" s="5">
        <v>426</v>
      </c>
      <c r="D325" s="6">
        <f t="shared" si="27"/>
        <v>106.5</v>
      </c>
      <c r="E325" s="5">
        <v>4</v>
      </c>
      <c r="F325" s="5">
        <v>92</v>
      </c>
      <c r="G325" s="6">
        <f t="shared" si="26"/>
        <v>23</v>
      </c>
      <c r="H325" s="5">
        <v>4</v>
      </c>
      <c r="I325" s="5"/>
    </row>
    <row r="326" spans="1:9" x14ac:dyDescent="0.3">
      <c r="A326" s="4" t="s">
        <v>246</v>
      </c>
      <c r="B326" s="5">
        <v>26</v>
      </c>
      <c r="C326" s="5">
        <v>338</v>
      </c>
      <c r="D326" s="6">
        <f t="shared" si="27"/>
        <v>13</v>
      </c>
      <c r="E326" s="5">
        <v>22</v>
      </c>
      <c r="F326" s="5">
        <v>522</v>
      </c>
      <c r="G326" s="6">
        <f t="shared" si="26"/>
        <v>23.727272727272727</v>
      </c>
      <c r="H326" s="5">
        <v>11</v>
      </c>
      <c r="I326" s="5"/>
    </row>
    <row r="327" spans="1:9" x14ac:dyDescent="0.3">
      <c r="A327" s="4" t="s">
        <v>247</v>
      </c>
      <c r="B327" s="5">
        <v>7</v>
      </c>
      <c r="C327" s="5">
        <v>9</v>
      </c>
      <c r="D327" s="6">
        <f t="shared" si="27"/>
        <v>1.2857142857142858</v>
      </c>
      <c r="E327" s="5"/>
      <c r="F327" s="5"/>
      <c r="G327" s="6">
        <f t="shared" si="26"/>
        <v>0</v>
      </c>
      <c r="H327" s="5"/>
      <c r="I327" s="5"/>
    </row>
    <row r="328" spans="1:9" x14ac:dyDescent="0.3">
      <c r="A328" s="4" t="s">
        <v>248</v>
      </c>
      <c r="B328" s="4">
        <v>28</v>
      </c>
      <c r="C328" s="4">
        <v>266</v>
      </c>
      <c r="D328" s="11">
        <f t="shared" si="27"/>
        <v>9.5</v>
      </c>
      <c r="E328" s="4">
        <v>67</v>
      </c>
      <c r="F328" s="4">
        <v>1082</v>
      </c>
      <c r="G328" s="11">
        <f t="shared" si="26"/>
        <v>16.149253731343283</v>
      </c>
      <c r="H328" s="4">
        <v>10</v>
      </c>
      <c r="I328" s="4"/>
    </row>
    <row r="329" spans="1:9" x14ac:dyDescent="0.3">
      <c r="A329" s="4" t="s">
        <v>249</v>
      </c>
      <c r="B329" s="5">
        <v>16</v>
      </c>
      <c r="C329" s="5">
        <v>387</v>
      </c>
      <c r="D329" s="6">
        <f t="shared" si="27"/>
        <v>24.1875</v>
      </c>
      <c r="E329" s="5">
        <v>91</v>
      </c>
      <c r="F329" s="5">
        <v>1043</v>
      </c>
      <c r="G329" s="6">
        <f t="shared" si="26"/>
        <v>11.461538461538462</v>
      </c>
      <c r="H329" s="5">
        <v>3</v>
      </c>
      <c r="I329" s="5"/>
    </row>
    <row r="330" spans="1:9" x14ac:dyDescent="0.3">
      <c r="A330" s="4" t="s">
        <v>250</v>
      </c>
      <c r="B330" s="5">
        <v>3</v>
      </c>
      <c r="C330" s="5">
        <v>0</v>
      </c>
      <c r="D330" s="6">
        <f t="shared" si="27"/>
        <v>0</v>
      </c>
      <c r="E330" s="5"/>
      <c r="F330" s="5"/>
      <c r="G330" s="6">
        <f t="shared" si="26"/>
        <v>0</v>
      </c>
      <c r="H330" s="5">
        <v>2</v>
      </c>
      <c r="I330" s="5"/>
    </row>
    <row r="331" spans="1:9" x14ac:dyDescent="0.3">
      <c r="A331" s="4" t="s">
        <v>251</v>
      </c>
      <c r="B331" s="4">
        <v>1</v>
      </c>
      <c r="C331" s="4">
        <v>19</v>
      </c>
      <c r="D331" s="6">
        <f t="shared" si="27"/>
        <v>19</v>
      </c>
      <c r="E331" s="4">
        <f>3+1</f>
        <v>4</v>
      </c>
      <c r="F331" s="4">
        <f>21+40</f>
        <v>61</v>
      </c>
      <c r="G331" s="6">
        <f t="shared" si="26"/>
        <v>15.25</v>
      </c>
      <c r="H331" s="4">
        <v>1</v>
      </c>
      <c r="I331" s="4"/>
    </row>
    <row r="332" spans="1:9" s="12" customFormat="1" x14ac:dyDescent="0.3">
      <c r="A332" s="4" t="s">
        <v>252</v>
      </c>
      <c r="B332" s="5">
        <v>24</v>
      </c>
      <c r="C332" s="5">
        <v>170</v>
      </c>
      <c r="D332" s="6">
        <f t="shared" si="27"/>
        <v>7.083333333333333</v>
      </c>
      <c r="E332" s="5"/>
      <c r="F332" s="5"/>
      <c r="G332" s="6">
        <f t="shared" si="26"/>
        <v>0</v>
      </c>
      <c r="H332" s="5">
        <v>3</v>
      </c>
      <c r="I332" s="5"/>
    </row>
    <row r="333" spans="1:9" x14ac:dyDescent="0.3">
      <c r="A333" s="4" t="s">
        <v>253</v>
      </c>
      <c r="B333" s="4">
        <f>9+3+2+3+3+2+1</f>
        <v>23</v>
      </c>
      <c r="C333" s="4">
        <f>36+6+3+27+13+12+39</f>
        <v>136</v>
      </c>
      <c r="D333" s="11">
        <f t="shared" si="27"/>
        <v>5.9130434782608692</v>
      </c>
      <c r="E333" s="4">
        <f>65+2</f>
        <v>67</v>
      </c>
      <c r="F333" s="4">
        <f>359+150+44+287+189+39+43+29</f>
        <v>1140</v>
      </c>
      <c r="G333" s="11">
        <f t="shared" si="26"/>
        <v>17.014925373134329</v>
      </c>
      <c r="H333" s="4">
        <f>7+3+1</f>
        <v>11</v>
      </c>
      <c r="I333" s="4"/>
    </row>
    <row r="334" spans="1:9" x14ac:dyDescent="0.3">
      <c r="A334" s="4" t="s">
        <v>254</v>
      </c>
      <c r="B334" s="5">
        <v>9</v>
      </c>
      <c r="C334" s="5">
        <v>124</v>
      </c>
      <c r="D334" s="6">
        <f t="shared" si="27"/>
        <v>13.777777777777779</v>
      </c>
      <c r="E334" s="5">
        <v>6</v>
      </c>
      <c r="F334" s="5">
        <v>78</v>
      </c>
      <c r="G334" s="6">
        <f t="shared" si="26"/>
        <v>13</v>
      </c>
      <c r="H334" s="5">
        <v>6</v>
      </c>
      <c r="I334" s="5"/>
    </row>
    <row r="335" spans="1:9" x14ac:dyDescent="0.3">
      <c r="A335" s="4" t="s">
        <v>255</v>
      </c>
      <c r="B335" s="4">
        <f>9+11</f>
        <v>20</v>
      </c>
      <c r="C335" s="4">
        <f>219+239</f>
        <v>458</v>
      </c>
      <c r="D335" s="6">
        <f t="shared" si="27"/>
        <v>22.9</v>
      </c>
      <c r="E335" s="4">
        <f>1</f>
        <v>1</v>
      </c>
      <c r="F335" s="4">
        <f>32</f>
        <v>32</v>
      </c>
      <c r="G335" s="6">
        <f t="shared" si="26"/>
        <v>32</v>
      </c>
      <c r="H335" s="4">
        <f>5+2</f>
        <v>7</v>
      </c>
      <c r="I335" s="4"/>
    </row>
    <row r="336" spans="1:9" s="12" customFormat="1" x14ac:dyDescent="0.3">
      <c r="A336" s="4" t="s">
        <v>256</v>
      </c>
      <c r="B336" s="4">
        <f>1+12+14+10</f>
        <v>37</v>
      </c>
      <c r="C336" s="4">
        <f>20+257+268+140</f>
        <v>685</v>
      </c>
      <c r="D336" s="6">
        <f t="shared" si="27"/>
        <v>18.513513513513512</v>
      </c>
      <c r="E336" s="4">
        <f>1+1</f>
        <v>2</v>
      </c>
      <c r="F336" s="4">
        <f>12+13+41</f>
        <v>66</v>
      </c>
      <c r="G336" s="6">
        <f t="shared" si="26"/>
        <v>33</v>
      </c>
      <c r="H336" s="4">
        <f>1+5+6+4</f>
        <v>16</v>
      </c>
      <c r="I336" s="4"/>
    </row>
    <row r="337" spans="1:9" x14ac:dyDescent="0.3">
      <c r="A337" s="4" t="s">
        <v>431</v>
      </c>
      <c r="B337" s="4">
        <v>9</v>
      </c>
      <c r="C337" s="4">
        <v>110</v>
      </c>
      <c r="D337" s="11">
        <f t="shared" si="27"/>
        <v>12.222222222222221</v>
      </c>
      <c r="E337" s="4">
        <v>10</v>
      </c>
      <c r="F337" s="4">
        <v>135</v>
      </c>
      <c r="G337" s="11">
        <f t="shared" si="26"/>
        <v>13.5</v>
      </c>
      <c r="H337" s="4">
        <v>6</v>
      </c>
      <c r="I337" s="4"/>
    </row>
    <row r="338" spans="1:9" x14ac:dyDescent="0.3">
      <c r="A338" s="4" t="s">
        <v>257</v>
      </c>
      <c r="B338" s="5">
        <v>10</v>
      </c>
      <c r="C338" s="5">
        <v>163</v>
      </c>
      <c r="D338" s="6">
        <f t="shared" si="27"/>
        <v>16.3</v>
      </c>
      <c r="E338" s="5">
        <v>2</v>
      </c>
      <c r="F338" s="5">
        <v>40</v>
      </c>
      <c r="G338" s="6">
        <f t="shared" si="26"/>
        <v>20</v>
      </c>
      <c r="H338" s="5">
        <v>7</v>
      </c>
      <c r="I338" s="5"/>
    </row>
    <row r="339" spans="1:9" x14ac:dyDescent="0.3">
      <c r="A339" s="4" t="s">
        <v>258</v>
      </c>
      <c r="B339" s="5">
        <v>63</v>
      </c>
      <c r="C339" s="5">
        <v>1283</v>
      </c>
      <c r="D339" s="6">
        <f t="shared" si="27"/>
        <v>20.365079365079364</v>
      </c>
      <c r="E339" s="5">
        <v>6</v>
      </c>
      <c r="F339" s="5">
        <v>226</v>
      </c>
      <c r="G339" s="6">
        <f t="shared" si="26"/>
        <v>37.666666666666664</v>
      </c>
      <c r="H339" s="5">
        <v>8</v>
      </c>
      <c r="I339" s="5"/>
    </row>
    <row r="340" spans="1:9" s="9" customFormat="1" x14ac:dyDescent="0.3">
      <c r="A340" s="4" t="s">
        <v>259</v>
      </c>
      <c r="B340" s="5">
        <v>6</v>
      </c>
      <c r="C340" s="5">
        <v>209</v>
      </c>
      <c r="D340" s="6">
        <f t="shared" si="27"/>
        <v>34.833333333333336</v>
      </c>
      <c r="E340" s="5"/>
      <c r="F340" s="5"/>
      <c r="G340" s="6">
        <f t="shared" si="26"/>
        <v>0</v>
      </c>
      <c r="H340" s="5">
        <v>4</v>
      </c>
      <c r="I340" s="5"/>
    </row>
    <row r="341" spans="1:9" s="12" customFormat="1" x14ac:dyDescent="0.3">
      <c r="A341" s="7" t="s">
        <v>435</v>
      </c>
      <c r="B341" s="7">
        <f>7+13+12+5+1+2</f>
        <v>40</v>
      </c>
      <c r="C341" s="7">
        <f>207+202+298+52+17+75</f>
        <v>851</v>
      </c>
      <c r="D341" s="8">
        <f t="shared" si="27"/>
        <v>21.274999999999999</v>
      </c>
      <c r="E341" s="7">
        <f>6+19+28+15+0+6</f>
        <v>74</v>
      </c>
      <c r="F341" s="7">
        <f>122+342+252+169+30+25</f>
        <v>940</v>
      </c>
      <c r="G341" s="8">
        <f t="shared" si="26"/>
        <v>12.702702702702704</v>
      </c>
      <c r="H341" s="7">
        <f>12+8+1+1</f>
        <v>22</v>
      </c>
      <c r="I341" s="7"/>
    </row>
    <row r="342" spans="1:9" s="12" customFormat="1" x14ac:dyDescent="0.3">
      <c r="A342" s="4" t="s">
        <v>449</v>
      </c>
      <c r="B342" s="4">
        <f>1+1+1+3+2</f>
        <v>8</v>
      </c>
      <c r="C342" s="4">
        <f>9+2+75+181+21</f>
        <v>288</v>
      </c>
      <c r="D342" s="11">
        <f t="shared" si="27"/>
        <v>36</v>
      </c>
      <c r="E342" s="4">
        <f>0+1</f>
        <v>1</v>
      </c>
      <c r="F342" s="4">
        <f>14+2</f>
        <v>16</v>
      </c>
      <c r="G342" s="11">
        <f t="shared" si="26"/>
        <v>16</v>
      </c>
      <c r="H342" s="4">
        <f>2+1</f>
        <v>3</v>
      </c>
      <c r="I342" s="4"/>
    </row>
    <row r="343" spans="1:9" x14ac:dyDescent="0.3">
      <c r="A343" s="4" t="s">
        <v>260</v>
      </c>
      <c r="B343" s="4">
        <f>55+10+6+12+4+5+7+2+3</f>
        <v>104</v>
      </c>
      <c r="C343" s="4">
        <f>888+373+163+324+70+208+168+207+169</f>
        <v>2570</v>
      </c>
      <c r="D343" s="11">
        <f t="shared" si="27"/>
        <v>24.71153846153846</v>
      </c>
      <c r="E343" s="4">
        <f>37+13+3+2+2+5+3</f>
        <v>65</v>
      </c>
      <c r="F343" s="4">
        <f>509+169+55+13+36+60+53</f>
        <v>895</v>
      </c>
      <c r="G343" s="11">
        <f t="shared" si="26"/>
        <v>13.76923076923077</v>
      </c>
      <c r="H343" s="4">
        <f>63+7+1+7+2+1+3</f>
        <v>84</v>
      </c>
      <c r="I343" s="4">
        <f>10+1</f>
        <v>11</v>
      </c>
    </row>
    <row r="344" spans="1:9" x14ac:dyDescent="0.3">
      <c r="A344" s="4" t="s">
        <v>261</v>
      </c>
      <c r="B344" s="5">
        <v>21</v>
      </c>
      <c r="C344" s="5">
        <v>269</v>
      </c>
      <c r="D344" s="6">
        <f t="shared" si="27"/>
        <v>12.80952380952381</v>
      </c>
      <c r="E344" s="5"/>
      <c r="F344" s="5"/>
      <c r="G344" s="6">
        <f t="shared" si="26"/>
        <v>0</v>
      </c>
      <c r="H344" s="5">
        <v>21</v>
      </c>
      <c r="I344" s="5"/>
    </row>
    <row r="345" spans="1:9" s="12" customFormat="1" x14ac:dyDescent="0.3">
      <c r="A345" s="4" t="s">
        <v>262</v>
      </c>
      <c r="B345" s="5">
        <v>7</v>
      </c>
      <c r="C345" s="5">
        <v>114</v>
      </c>
      <c r="D345" s="6">
        <f t="shared" si="27"/>
        <v>16.285714285714285</v>
      </c>
      <c r="E345" s="5">
        <v>16</v>
      </c>
      <c r="F345" s="5">
        <v>205</v>
      </c>
      <c r="G345" s="6">
        <f t="shared" si="26"/>
        <v>12.8125</v>
      </c>
      <c r="H345" s="5">
        <v>1</v>
      </c>
      <c r="I345" s="5"/>
    </row>
    <row r="346" spans="1:9" x14ac:dyDescent="0.3">
      <c r="A346" s="4" t="s">
        <v>263</v>
      </c>
      <c r="B346" s="4">
        <f>4+1+10+1+0+1</f>
        <v>17</v>
      </c>
      <c r="C346" s="4">
        <f>10+2+188+41+81+21</f>
        <v>343</v>
      </c>
      <c r="D346" s="11">
        <f t="shared" si="27"/>
        <v>20.176470588235293</v>
      </c>
      <c r="E346" s="4">
        <f>0+2+3</f>
        <v>5</v>
      </c>
      <c r="F346" s="4">
        <f>10+20+21</f>
        <v>51</v>
      </c>
      <c r="G346" s="11">
        <f t="shared" si="26"/>
        <v>10.199999999999999</v>
      </c>
      <c r="H346" s="4">
        <f>12+1+9</f>
        <v>22</v>
      </c>
      <c r="I346" s="4">
        <f>3+9</f>
        <v>12</v>
      </c>
    </row>
    <row r="347" spans="1:9" x14ac:dyDescent="0.3">
      <c r="A347" s="4" t="s">
        <v>264</v>
      </c>
      <c r="B347" s="4">
        <f>14+8+3+7</f>
        <v>32</v>
      </c>
      <c r="C347" s="4">
        <v>771</v>
      </c>
      <c r="D347" s="6">
        <f t="shared" si="27"/>
        <v>24.09375</v>
      </c>
      <c r="E347" s="4">
        <f>38+34+45+22</f>
        <v>139</v>
      </c>
      <c r="F347" s="4">
        <f>475+355+348+384</f>
        <v>1562</v>
      </c>
      <c r="G347" s="6">
        <f t="shared" si="26"/>
        <v>11.237410071942445</v>
      </c>
      <c r="H347" s="4">
        <f>5+5+7</f>
        <v>17</v>
      </c>
      <c r="I347" s="4"/>
    </row>
    <row r="348" spans="1:9" x14ac:dyDescent="0.3">
      <c r="A348" s="4" t="s">
        <v>265</v>
      </c>
      <c r="B348" s="5">
        <v>40</v>
      </c>
      <c r="C348" s="5">
        <v>764</v>
      </c>
      <c r="D348" s="6">
        <f t="shared" si="27"/>
        <v>19.100000000000001</v>
      </c>
      <c r="E348" s="5">
        <v>179</v>
      </c>
      <c r="F348" s="5">
        <v>2241</v>
      </c>
      <c r="G348" s="6">
        <f t="shared" si="26"/>
        <v>12.519553072625698</v>
      </c>
      <c r="H348" s="5">
        <v>21</v>
      </c>
      <c r="I348" s="5"/>
    </row>
    <row r="349" spans="1:9" x14ac:dyDescent="0.3">
      <c r="A349" s="4" t="s">
        <v>266</v>
      </c>
      <c r="B349" s="5">
        <v>1</v>
      </c>
      <c r="C349" s="5">
        <v>0</v>
      </c>
      <c r="D349" s="6">
        <f t="shared" si="27"/>
        <v>0</v>
      </c>
      <c r="E349" s="5">
        <v>1</v>
      </c>
      <c r="F349" s="5">
        <v>40</v>
      </c>
      <c r="G349" s="6">
        <f t="shared" si="26"/>
        <v>40</v>
      </c>
      <c r="H349" s="5"/>
      <c r="I349" s="5"/>
    </row>
    <row r="350" spans="1:9" s="12" customFormat="1" x14ac:dyDescent="0.3">
      <c r="A350" s="4" t="s">
        <v>267</v>
      </c>
      <c r="B350" s="5">
        <v>20</v>
      </c>
      <c r="C350" s="5">
        <v>272</v>
      </c>
      <c r="D350" s="6">
        <f t="shared" si="27"/>
        <v>13.6</v>
      </c>
      <c r="E350" s="5"/>
      <c r="F350" s="5"/>
      <c r="G350" s="6">
        <f t="shared" si="26"/>
        <v>0</v>
      </c>
      <c r="H350" s="5">
        <v>3</v>
      </c>
      <c r="I350" s="5"/>
    </row>
    <row r="351" spans="1:9" x14ac:dyDescent="0.3">
      <c r="A351" s="4" t="s">
        <v>268</v>
      </c>
      <c r="B351" s="5">
        <v>1</v>
      </c>
      <c r="C351" s="5">
        <v>1</v>
      </c>
      <c r="D351" s="6">
        <f t="shared" si="27"/>
        <v>1</v>
      </c>
      <c r="E351" s="5"/>
      <c r="F351" s="5"/>
      <c r="G351" s="6">
        <f t="shared" si="26"/>
        <v>0</v>
      </c>
      <c r="H351" s="5">
        <v>1</v>
      </c>
      <c r="I351" s="5"/>
    </row>
    <row r="352" spans="1:9" x14ac:dyDescent="0.3">
      <c r="A352" s="4" t="s">
        <v>268</v>
      </c>
      <c r="B352" s="5">
        <v>1</v>
      </c>
      <c r="C352" s="5">
        <v>2</v>
      </c>
      <c r="D352" s="6">
        <f t="shared" si="27"/>
        <v>2</v>
      </c>
      <c r="E352" s="5"/>
      <c r="F352" s="5"/>
      <c r="G352" s="6">
        <f t="shared" ref="G352:G383" si="28">IF(E352=0,0,F352/E352)</f>
        <v>0</v>
      </c>
      <c r="H352" s="5"/>
      <c r="I352" s="5"/>
    </row>
    <row r="353" spans="1:9" x14ac:dyDescent="0.3">
      <c r="A353" s="4" t="s">
        <v>269</v>
      </c>
      <c r="B353" s="5">
        <v>1</v>
      </c>
      <c r="C353" s="5">
        <v>0</v>
      </c>
      <c r="D353" s="6">
        <f t="shared" si="27"/>
        <v>0</v>
      </c>
      <c r="E353" s="5">
        <v>0</v>
      </c>
      <c r="F353" s="5">
        <v>0</v>
      </c>
      <c r="G353" s="6">
        <f t="shared" si="28"/>
        <v>0</v>
      </c>
      <c r="H353" s="5">
        <v>1</v>
      </c>
      <c r="I353" s="5"/>
    </row>
    <row r="354" spans="1:9" x14ac:dyDescent="0.3">
      <c r="A354" s="4" t="s">
        <v>425</v>
      </c>
      <c r="B354" s="4">
        <v>40</v>
      </c>
      <c r="C354" s="4">
        <f>1212+24</f>
        <v>1236</v>
      </c>
      <c r="D354" s="11">
        <f t="shared" si="27"/>
        <v>30.9</v>
      </c>
      <c r="E354" s="4">
        <f>46+17</f>
        <v>63</v>
      </c>
      <c r="F354" s="4">
        <f>1003+217+25</f>
        <v>1245</v>
      </c>
      <c r="G354" s="11">
        <f t="shared" si="28"/>
        <v>19.761904761904763</v>
      </c>
      <c r="H354" s="4">
        <v>24</v>
      </c>
      <c r="I354" s="4"/>
    </row>
    <row r="355" spans="1:9" s="12" customFormat="1" x14ac:dyDescent="0.3">
      <c r="A355" s="4" t="s">
        <v>270</v>
      </c>
      <c r="B355" s="5">
        <f>10</f>
        <v>10</v>
      </c>
      <c r="C355" s="5">
        <f>81</f>
        <v>81</v>
      </c>
      <c r="D355" s="6">
        <f t="shared" ref="D355:D386" si="29">IF(B355=0,0,C355/B355)</f>
        <v>8.1</v>
      </c>
      <c r="E355" s="5">
        <v>0</v>
      </c>
      <c r="F355" s="5">
        <f>16</f>
        <v>16</v>
      </c>
      <c r="G355" s="6">
        <f t="shared" si="28"/>
        <v>0</v>
      </c>
      <c r="H355" s="5">
        <f>2</f>
        <v>2</v>
      </c>
      <c r="I355" s="5"/>
    </row>
    <row r="356" spans="1:9" s="12" customFormat="1" x14ac:dyDescent="0.3">
      <c r="A356" s="4" t="s">
        <v>271</v>
      </c>
      <c r="B356" s="4">
        <f>13+6</f>
        <v>19</v>
      </c>
      <c r="C356" s="4">
        <f>14+187+37</f>
        <v>238</v>
      </c>
      <c r="D356" s="11">
        <f t="shared" si="29"/>
        <v>12.526315789473685</v>
      </c>
      <c r="E356" s="4">
        <v>3</v>
      </c>
      <c r="F356" s="4">
        <v>32</v>
      </c>
      <c r="G356" s="11">
        <f t="shared" si="28"/>
        <v>10.666666666666666</v>
      </c>
      <c r="H356" s="4">
        <v>10</v>
      </c>
      <c r="I356" s="4"/>
    </row>
    <row r="357" spans="1:9" x14ac:dyDescent="0.3">
      <c r="A357" s="4" t="s">
        <v>463</v>
      </c>
      <c r="B357" s="4">
        <f>9+9+5</f>
        <v>23</v>
      </c>
      <c r="C357" s="4">
        <f>235+150+205</f>
        <v>590</v>
      </c>
      <c r="D357" s="11">
        <f t="shared" si="29"/>
        <v>25.652173913043477</v>
      </c>
      <c r="E357" s="4">
        <f>22+24+14</f>
        <v>60</v>
      </c>
      <c r="F357" s="4">
        <f>310+270+182</f>
        <v>762</v>
      </c>
      <c r="G357" s="11">
        <f t="shared" si="28"/>
        <v>12.7</v>
      </c>
      <c r="H357" s="4">
        <f>6+5+6</f>
        <v>17</v>
      </c>
      <c r="I357" s="4"/>
    </row>
    <row r="358" spans="1:9" s="12" customFormat="1" x14ac:dyDescent="0.3">
      <c r="A358" s="4" t="s">
        <v>272</v>
      </c>
      <c r="B358" s="5">
        <v>0</v>
      </c>
      <c r="C358" s="5">
        <v>7</v>
      </c>
      <c r="D358" s="6">
        <f t="shared" si="29"/>
        <v>0</v>
      </c>
      <c r="E358" s="5"/>
      <c r="F358" s="5"/>
      <c r="G358" s="6">
        <f t="shared" si="28"/>
        <v>0</v>
      </c>
      <c r="H358" s="5"/>
      <c r="I358" s="5"/>
    </row>
    <row r="359" spans="1:9" x14ac:dyDescent="0.3">
      <c r="A359" s="4" t="s">
        <v>414</v>
      </c>
      <c r="B359" s="4">
        <v>14</v>
      </c>
      <c r="C359" s="4">
        <v>122</v>
      </c>
      <c r="D359" s="11">
        <f t="shared" si="29"/>
        <v>8.7142857142857135</v>
      </c>
      <c r="E359" s="4">
        <v>59</v>
      </c>
      <c r="F359" s="4">
        <v>745</v>
      </c>
      <c r="G359" s="11">
        <f t="shared" si="28"/>
        <v>12.627118644067796</v>
      </c>
      <c r="H359" s="4">
        <v>14</v>
      </c>
      <c r="I359" s="4"/>
    </row>
    <row r="360" spans="1:9" x14ac:dyDescent="0.3">
      <c r="A360" s="4" t="s">
        <v>273</v>
      </c>
      <c r="B360" s="5">
        <v>3</v>
      </c>
      <c r="C360" s="5">
        <v>7</v>
      </c>
      <c r="D360" s="6">
        <f t="shared" si="29"/>
        <v>2.3333333333333335</v>
      </c>
      <c r="E360" s="5"/>
      <c r="F360" s="5"/>
      <c r="G360" s="6">
        <f t="shared" si="28"/>
        <v>0</v>
      </c>
      <c r="H360" s="5">
        <v>1</v>
      </c>
      <c r="I360" s="5"/>
    </row>
    <row r="361" spans="1:9" x14ac:dyDescent="0.3">
      <c r="A361" s="4" t="s">
        <v>274</v>
      </c>
      <c r="B361" s="5">
        <v>4</v>
      </c>
      <c r="C361" s="5">
        <v>23</v>
      </c>
      <c r="D361" s="6">
        <f t="shared" si="29"/>
        <v>5.75</v>
      </c>
      <c r="E361" s="5">
        <v>22</v>
      </c>
      <c r="F361" s="5">
        <v>295</v>
      </c>
      <c r="G361" s="6">
        <f t="shared" si="28"/>
        <v>13.409090909090908</v>
      </c>
      <c r="H361" s="5">
        <v>4</v>
      </c>
      <c r="I361" s="5"/>
    </row>
    <row r="362" spans="1:9" x14ac:dyDescent="0.3">
      <c r="A362" s="4" t="s">
        <v>275</v>
      </c>
      <c r="B362" s="5"/>
      <c r="C362" s="5"/>
      <c r="D362" s="6">
        <f t="shared" si="29"/>
        <v>0</v>
      </c>
      <c r="E362" s="5">
        <v>4</v>
      </c>
      <c r="F362" s="5">
        <v>38</v>
      </c>
      <c r="G362" s="6">
        <f t="shared" si="28"/>
        <v>9.5</v>
      </c>
      <c r="H362" s="5"/>
      <c r="I362" s="5"/>
    </row>
    <row r="363" spans="1:9" x14ac:dyDescent="0.3">
      <c r="A363" s="4" t="s">
        <v>276</v>
      </c>
      <c r="B363" s="5">
        <v>12</v>
      </c>
      <c r="C363" s="5">
        <v>71</v>
      </c>
      <c r="D363" s="6">
        <f t="shared" si="29"/>
        <v>5.916666666666667</v>
      </c>
      <c r="E363" s="5">
        <v>6</v>
      </c>
      <c r="F363" s="5">
        <v>149</v>
      </c>
      <c r="G363" s="6">
        <f t="shared" si="28"/>
        <v>24.833333333333332</v>
      </c>
      <c r="H363" s="5">
        <v>6</v>
      </c>
      <c r="I363" s="5"/>
    </row>
    <row r="364" spans="1:9" s="9" customFormat="1" x14ac:dyDescent="0.3">
      <c r="A364" s="4" t="s">
        <v>277</v>
      </c>
      <c r="B364" s="5">
        <v>4</v>
      </c>
      <c r="C364" s="5">
        <v>279</v>
      </c>
      <c r="D364" s="6">
        <f t="shared" si="29"/>
        <v>69.75</v>
      </c>
      <c r="E364" s="5">
        <v>11</v>
      </c>
      <c r="F364" s="5">
        <v>116</v>
      </c>
      <c r="G364" s="6">
        <f t="shared" si="28"/>
        <v>10.545454545454545</v>
      </c>
      <c r="H364" s="5">
        <v>6</v>
      </c>
      <c r="I364" s="5"/>
    </row>
    <row r="365" spans="1:9" s="12" customFormat="1" x14ac:dyDescent="0.3">
      <c r="A365" s="4" t="s">
        <v>465</v>
      </c>
      <c r="B365" s="4">
        <f>2+4+1+0+1</f>
        <v>8</v>
      </c>
      <c r="C365" s="4">
        <f>22+88+0+4+1</f>
        <v>115</v>
      </c>
      <c r="D365" s="11">
        <f t="shared" si="29"/>
        <v>14.375</v>
      </c>
      <c r="E365" s="4">
        <f>14+19+16+21+1</f>
        <v>71</v>
      </c>
      <c r="F365" s="4">
        <f>229+146+118+253+82</f>
        <v>828</v>
      </c>
      <c r="G365" s="11">
        <f t="shared" si="28"/>
        <v>11.661971830985916</v>
      </c>
      <c r="H365" s="4">
        <f>2+9+1+6</f>
        <v>18</v>
      </c>
      <c r="I365" s="4"/>
    </row>
    <row r="366" spans="1:9" x14ac:dyDescent="0.3">
      <c r="A366" s="7" t="s">
        <v>457</v>
      </c>
      <c r="B366" s="7">
        <f>5+1</f>
        <v>6</v>
      </c>
      <c r="C366" s="7">
        <f>32+13</f>
        <v>45</v>
      </c>
      <c r="D366" s="8">
        <f t="shared" si="29"/>
        <v>7.5</v>
      </c>
      <c r="E366" s="7">
        <f>14+0</f>
        <v>14</v>
      </c>
      <c r="F366" s="7">
        <f>194+23</f>
        <v>217</v>
      </c>
      <c r="G366" s="8">
        <f t="shared" si="28"/>
        <v>15.5</v>
      </c>
      <c r="H366" s="7">
        <f>2+1</f>
        <v>3</v>
      </c>
      <c r="I366" s="7"/>
    </row>
    <row r="367" spans="1:9" x14ac:dyDescent="0.3">
      <c r="A367" s="4" t="s">
        <v>278</v>
      </c>
      <c r="B367" s="5">
        <v>2</v>
      </c>
      <c r="C367" s="5">
        <v>7</v>
      </c>
      <c r="D367" s="6">
        <f t="shared" si="29"/>
        <v>3.5</v>
      </c>
      <c r="E367" s="5">
        <v>2</v>
      </c>
      <c r="F367" s="5">
        <v>28</v>
      </c>
      <c r="G367" s="6">
        <f t="shared" si="28"/>
        <v>14</v>
      </c>
      <c r="H367" s="5">
        <v>2</v>
      </c>
      <c r="I367" s="5"/>
    </row>
    <row r="368" spans="1:9" x14ac:dyDescent="0.3">
      <c r="A368" s="4" t="s">
        <v>279</v>
      </c>
      <c r="B368" s="5">
        <v>3</v>
      </c>
      <c r="C368" s="5">
        <v>15</v>
      </c>
      <c r="D368" s="6">
        <f t="shared" si="29"/>
        <v>5</v>
      </c>
      <c r="E368" s="5"/>
      <c r="F368" s="5"/>
      <c r="G368" s="6">
        <f t="shared" si="28"/>
        <v>0</v>
      </c>
      <c r="H368" s="5"/>
      <c r="I368" s="5"/>
    </row>
    <row r="369" spans="1:9" x14ac:dyDescent="0.3">
      <c r="A369" s="4" t="s">
        <v>280</v>
      </c>
      <c r="B369" s="5">
        <v>4</v>
      </c>
      <c r="C369" s="5">
        <v>21</v>
      </c>
      <c r="D369" s="6">
        <f t="shared" si="29"/>
        <v>5.25</v>
      </c>
      <c r="E369" s="5">
        <v>15</v>
      </c>
      <c r="F369" s="5">
        <v>265</v>
      </c>
      <c r="G369" s="6">
        <f t="shared" si="28"/>
        <v>17.666666666666668</v>
      </c>
      <c r="H369" s="5"/>
      <c r="I369" s="5"/>
    </row>
    <row r="370" spans="1:9" x14ac:dyDescent="0.3">
      <c r="A370" s="4" t="s">
        <v>281</v>
      </c>
      <c r="B370" s="5">
        <v>4</v>
      </c>
      <c r="C370" s="5">
        <v>33</v>
      </c>
      <c r="D370" s="6">
        <f t="shared" si="29"/>
        <v>8.25</v>
      </c>
      <c r="E370" s="5">
        <v>0</v>
      </c>
      <c r="F370" s="5">
        <v>17</v>
      </c>
      <c r="G370" s="6">
        <f t="shared" si="28"/>
        <v>0</v>
      </c>
      <c r="H370" s="5"/>
      <c r="I370" s="5"/>
    </row>
    <row r="371" spans="1:9" s="12" customFormat="1" x14ac:dyDescent="0.3">
      <c r="A371" s="4" t="s">
        <v>282</v>
      </c>
      <c r="B371" s="5">
        <f>5+9+3</f>
        <v>17</v>
      </c>
      <c r="C371" s="5">
        <f>50+115+32</f>
        <v>197</v>
      </c>
      <c r="D371" s="6">
        <f t="shared" si="29"/>
        <v>11.588235294117647</v>
      </c>
      <c r="E371" s="5">
        <f>1</f>
        <v>1</v>
      </c>
      <c r="F371" s="5">
        <v>33</v>
      </c>
      <c r="G371" s="6">
        <f t="shared" si="28"/>
        <v>33</v>
      </c>
      <c r="H371" s="5">
        <f>2+2</f>
        <v>4</v>
      </c>
      <c r="I371" s="5"/>
    </row>
    <row r="372" spans="1:9" x14ac:dyDescent="0.3">
      <c r="A372" s="4" t="s">
        <v>283</v>
      </c>
      <c r="B372" s="4">
        <v>11</v>
      </c>
      <c r="C372" s="4">
        <v>204</v>
      </c>
      <c r="D372" s="11">
        <f t="shared" si="29"/>
        <v>18.545454545454547</v>
      </c>
      <c r="E372" s="4">
        <f>2+0+32+2</f>
        <v>36</v>
      </c>
      <c r="F372" s="4">
        <f>16+33+409+85</f>
        <v>543</v>
      </c>
      <c r="G372" s="11">
        <f t="shared" si="28"/>
        <v>15.083333333333334</v>
      </c>
      <c r="H372" s="4">
        <f>3+2</f>
        <v>5</v>
      </c>
      <c r="I372" s="4"/>
    </row>
    <row r="373" spans="1:9" x14ac:dyDescent="0.3">
      <c r="A373" s="4" t="s">
        <v>284</v>
      </c>
      <c r="B373" s="5">
        <v>118</v>
      </c>
      <c r="C373" s="5">
        <v>2302</v>
      </c>
      <c r="D373" s="6">
        <f t="shared" si="29"/>
        <v>19.508474576271187</v>
      </c>
      <c r="E373" s="5">
        <v>71</v>
      </c>
      <c r="F373" s="5">
        <v>1280</v>
      </c>
      <c r="G373" s="6">
        <f t="shared" si="28"/>
        <v>18.028169014084508</v>
      </c>
      <c r="H373" s="5">
        <v>48</v>
      </c>
      <c r="I373" s="5"/>
    </row>
    <row r="374" spans="1:9" s="12" customFormat="1" x14ac:dyDescent="0.3">
      <c r="A374" s="4" t="s">
        <v>285</v>
      </c>
      <c r="B374" s="5">
        <v>10</v>
      </c>
      <c r="C374" s="5">
        <v>87</v>
      </c>
      <c r="D374" s="6">
        <f t="shared" si="29"/>
        <v>8.6999999999999993</v>
      </c>
      <c r="E374" s="5">
        <v>12</v>
      </c>
      <c r="F374" s="5">
        <v>153</v>
      </c>
      <c r="G374" s="6">
        <f t="shared" si="28"/>
        <v>12.75</v>
      </c>
      <c r="H374" s="5">
        <v>3</v>
      </c>
      <c r="I374" s="5"/>
    </row>
    <row r="375" spans="1:9" s="12" customFormat="1" x14ac:dyDescent="0.3">
      <c r="A375" s="4" t="s">
        <v>410</v>
      </c>
      <c r="B375" s="4">
        <f>25+11+13+7+13</f>
        <v>69</v>
      </c>
      <c r="C375" s="4">
        <f>307+50+169+160+182</f>
        <v>868</v>
      </c>
      <c r="D375" s="11">
        <f t="shared" si="29"/>
        <v>12.579710144927537</v>
      </c>
      <c r="E375" s="4">
        <v>2</v>
      </c>
      <c r="F375" s="4">
        <v>90</v>
      </c>
      <c r="G375" s="11">
        <f t="shared" si="28"/>
        <v>45</v>
      </c>
      <c r="H375" s="4">
        <v>19</v>
      </c>
      <c r="I375" s="4"/>
    </row>
    <row r="376" spans="1:9" x14ac:dyDescent="0.3">
      <c r="A376" s="4" t="s">
        <v>286</v>
      </c>
      <c r="B376" s="4">
        <f>4+4</f>
        <v>8</v>
      </c>
      <c r="C376" s="4">
        <f>31+57</f>
        <v>88</v>
      </c>
      <c r="D376" s="11">
        <f t="shared" si="29"/>
        <v>11</v>
      </c>
      <c r="E376" s="4">
        <f>5+2</f>
        <v>7</v>
      </c>
      <c r="F376" s="4">
        <f>108+7</f>
        <v>115</v>
      </c>
      <c r="G376" s="11">
        <f t="shared" si="28"/>
        <v>16.428571428571427</v>
      </c>
      <c r="H376" s="4">
        <f>0</f>
        <v>0</v>
      </c>
      <c r="I376" s="4"/>
    </row>
    <row r="377" spans="1:9" x14ac:dyDescent="0.3">
      <c r="A377" s="4" t="s">
        <v>287</v>
      </c>
      <c r="B377" s="5">
        <v>1</v>
      </c>
      <c r="C377" s="5">
        <v>1</v>
      </c>
      <c r="D377" s="6">
        <f t="shared" si="29"/>
        <v>1</v>
      </c>
      <c r="E377" s="5"/>
      <c r="F377" s="5"/>
      <c r="G377" s="6">
        <f t="shared" si="28"/>
        <v>0</v>
      </c>
      <c r="H377" s="5"/>
      <c r="I377" s="5"/>
    </row>
    <row r="378" spans="1:9" s="9" customFormat="1" x14ac:dyDescent="0.3">
      <c r="A378" s="4" t="s">
        <v>288</v>
      </c>
      <c r="B378" s="5">
        <f>4+1</f>
        <v>5</v>
      </c>
      <c r="C378" s="5">
        <f>86+80</f>
        <v>166</v>
      </c>
      <c r="D378" s="6">
        <f t="shared" si="29"/>
        <v>33.200000000000003</v>
      </c>
      <c r="E378" s="5">
        <f>12+4</f>
        <v>16</v>
      </c>
      <c r="F378" s="5">
        <f>244+41</f>
        <v>285</v>
      </c>
      <c r="G378" s="8">
        <f t="shared" si="28"/>
        <v>17.8125</v>
      </c>
      <c r="H378" s="5">
        <f>1+1</f>
        <v>2</v>
      </c>
      <c r="I378" s="5"/>
    </row>
    <row r="379" spans="1:9" s="12" customFormat="1" x14ac:dyDescent="0.3">
      <c r="A379" s="4" t="s">
        <v>506</v>
      </c>
      <c r="B379" s="4">
        <v>0</v>
      </c>
      <c r="C379" s="4">
        <f>19</f>
        <v>19</v>
      </c>
      <c r="D379" s="11">
        <f t="shared" si="29"/>
        <v>0</v>
      </c>
      <c r="E379" s="4">
        <f>1</f>
        <v>1</v>
      </c>
      <c r="F379" s="4">
        <f>25</f>
        <v>25</v>
      </c>
      <c r="G379" s="11">
        <f t="shared" si="28"/>
        <v>25</v>
      </c>
      <c r="H379" s="4">
        <f>1</f>
        <v>1</v>
      </c>
      <c r="I379" s="4"/>
    </row>
    <row r="380" spans="1:9" s="12" customFormat="1" x14ac:dyDescent="0.3">
      <c r="A380" s="4" t="s">
        <v>289</v>
      </c>
      <c r="B380" s="4">
        <v>25</v>
      </c>
      <c r="C380" s="4">
        <f>243+17</f>
        <v>260</v>
      </c>
      <c r="D380" s="11">
        <f t="shared" si="29"/>
        <v>10.4</v>
      </c>
      <c r="E380" s="4">
        <f>0+12+0</f>
        <v>12</v>
      </c>
      <c r="F380" s="4">
        <v>373</v>
      </c>
      <c r="G380" s="11">
        <f t="shared" si="28"/>
        <v>31.083333333333332</v>
      </c>
      <c r="H380" s="4">
        <v>13</v>
      </c>
      <c r="I380" s="4"/>
    </row>
    <row r="381" spans="1:9" x14ac:dyDescent="0.3">
      <c r="A381" s="4" t="s">
        <v>290</v>
      </c>
      <c r="B381" s="4">
        <v>47</v>
      </c>
      <c r="C381" s="4">
        <f>1295+254</f>
        <v>1549</v>
      </c>
      <c r="D381" s="11">
        <f t="shared" si="29"/>
        <v>32.957446808510639</v>
      </c>
      <c r="E381" s="4">
        <v>21</v>
      </c>
      <c r="F381" s="4">
        <v>382</v>
      </c>
      <c r="G381" s="11">
        <f t="shared" si="28"/>
        <v>18.19047619047619</v>
      </c>
      <c r="H381" s="4">
        <v>39</v>
      </c>
      <c r="I381" s="4"/>
    </row>
    <row r="382" spans="1:9" x14ac:dyDescent="0.3">
      <c r="A382" s="4" t="s">
        <v>291</v>
      </c>
      <c r="B382" s="4">
        <f>2+5+8+12</f>
        <v>27</v>
      </c>
      <c r="C382" s="4">
        <f>0+28+143+172</f>
        <v>343</v>
      </c>
      <c r="D382" s="6">
        <f t="shared" si="29"/>
        <v>12.703703703703704</v>
      </c>
      <c r="E382" s="4">
        <f>4+18+10+15</f>
        <v>47</v>
      </c>
      <c r="F382" s="4">
        <f>69+363+260+398</f>
        <v>1090</v>
      </c>
      <c r="G382" s="6">
        <f t="shared" si="28"/>
        <v>23.191489361702128</v>
      </c>
      <c r="H382" s="4">
        <f>2+2+5+4</f>
        <v>13</v>
      </c>
      <c r="I382" s="4"/>
    </row>
    <row r="383" spans="1:9" x14ac:dyDescent="0.3">
      <c r="A383" s="4" t="s">
        <v>292</v>
      </c>
      <c r="B383" s="4">
        <v>5</v>
      </c>
      <c r="C383" s="4">
        <v>26</v>
      </c>
      <c r="D383" s="6">
        <f t="shared" si="29"/>
        <v>5.2</v>
      </c>
      <c r="E383" s="4"/>
      <c r="F383" s="4"/>
      <c r="G383" s="6">
        <f t="shared" si="28"/>
        <v>0</v>
      </c>
      <c r="H383" s="4">
        <v>4</v>
      </c>
      <c r="I383" s="4"/>
    </row>
    <row r="384" spans="1:9" x14ac:dyDescent="0.3">
      <c r="A384" s="4" t="s">
        <v>293</v>
      </c>
      <c r="B384" s="5">
        <v>0</v>
      </c>
      <c r="C384" s="5">
        <v>11</v>
      </c>
      <c r="D384" s="6">
        <f t="shared" si="29"/>
        <v>0</v>
      </c>
      <c r="E384" s="5"/>
      <c r="F384" s="5"/>
      <c r="G384" s="6">
        <f t="shared" ref="G384:G416" si="30">IF(E384=0,0,F384/E384)</f>
        <v>0</v>
      </c>
      <c r="H384" s="5">
        <v>1</v>
      </c>
      <c r="I384" s="5"/>
    </row>
    <row r="385" spans="1:9" s="9" customFormat="1" x14ac:dyDescent="0.3">
      <c r="A385" s="4" t="s">
        <v>294</v>
      </c>
      <c r="B385" s="5">
        <v>6</v>
      </c>
      <c r="C385" s="5">
        <v>87</v>
      </c>
      <c r="D385" s="6">
        <f t="shared" si="29"/>
        <v>14.5</v>
      </c>
      <c r="E385" s="5"/>
      <c r="F385" s="5"/>
      <c r="G385" s="6">
        <f t="shared" si="30"/>
        <v>0</v>
      </c>
      <c r="H385" s="5">
        <v>3</v>
      </c>
      <c r="I385" s="5"/>
    </row>
    <row r="386" spans="1:9" x14ac:dyDescent="0.3">
      <c r="A386" s="7" t="s">
        <v>488</v>
      </c>
      <c r="B386" s="7">
        <f>4+2+1</f>
        <v>7</v>
      </c>
      <c r="C386" s="7">
        <f>36+28+8</f>
        <v>72</v>
      </c>
      <c r="D386" s="8">
        <f t="shared" si="29"/>
        <v>10.285714285714286</v>
      </c>
      <c r="E386" s="7">
        <f>1+6</f>
        <v>7</v>
      </c>
      <c r="F386" s="7">
        <f>45+92</f>
        <v>137</v>
      </c>
      <c r="G386" s="8">
        <f t="shared" si="30"/>
        <v>19.571428571428573</v>
      </c>
      <c r="H386" s="7">
        <f>1+2</f>
        <v>3</v>
      </c>
      <c r="I386" s="7"/>
    </row>
    <row r="387" spans="1:9" s="12" customFormat="1" x14ac:dyDescent="0.3">
      <c r="A387" s="4" t="s">
        <v>295</v>
      </c>
      <c r="B387" s="5">
        <v>6</v>
      </c>
      <c r="C387" s="5">
        <v>42</v>
      </c>
      <c r="D387" s="6">
        <f t="shared" ref="D387:D419" si="31">IF(B387=0,0,C387/B387)</f>
        <v>7</v>
      </c>
      <c r="E387" s="5">
        <v>1</v>
      </c>
      <c r="F387" s="5">
        <v>21</v>
      </c>
      <c r="G387" s="6">
        <f t="shared" si="30"/>
        <v>21</v>
      </c>
      <c r="H387" s="5">
        <v>2</v>
      </c>
      <c r="I387" s="5"/>
    </row>
    <row r="388" spans="1:9" x14ac:dyDescent="0.3">
      <c r="A388" s="4" t="s">
        <v>418</v>
      </c>
      <c r="B388" s="4">
        <v>9</v>
      </c>
      <c r="C388" s="4">
        <v>396</v>
      </c>
      <c r="D388" s="11">
        <f t="shared" si="31"/>
        <v>44</v>
      </c>
      <c r="E388" s="4">
        <v>0</v>
      </c>
      <c r="F388" s="4">
        <v>15</v>
      </c>
      <c r="G388" s="11">
        <f t="shared" si="30"/>
        <v>0</v>
      </c>
      <c r="H388" s="4">
        <v>16</v>
      </c>
      <c r="I388" s="4"/>
    </row>
    <row r="389" spans="1:9" x14ac:dyDescent="0.3">
      <c r="A389" s="4" t="s">
        <v>296</v>
      </c>
      <c r="B389" s="5">
        <v>8</v>
      </c>
      <c r="C389" s="5">
        <v>105</v>
      </c>
      <c r="D389" s="6">
        <f t="shared" si="31"/>
        <v>13.125</v>
      </c>
      <c r="E389" s="5">
        <v>22</v>
      </c>
      <c r="F389" s="5">
        <v>336</v>
      </c>
      <c r="G389" s="6">
        <f t="shared" si="30"/>
        <v>15.272727272727273</v>
      </c>
      <c r="H389" s="5">
        <v>4</v>
      </c>
      <c r="I389" s="5"/>
    </row>
    <row r="390" spans="1:9" x14ac:dyDescent="0.3">
      <c r="A390" s="4" t="s">
        <v>297</v>
      </c>
      <c r="B390" s="5">
        <v>4</v>
      </c>
      <c r="C390" s="5">
        <v>26</v>
      </c>
      <c r="D390" s="6">
        <f t="shared" si="31"/>
        <v>6.5</v>
      </c>
      <c r="E390" s="5"/>
      <c r="F390" s="5"/>
      <c r="G390" s="6">
        <f t="shared" si="30"/>
        <v>0</v>
      </c>
      <c r="H390" s="5"/>
      <c r="I390" s="5"/>
    </row>
    <row r="391" spans="1:9" s="12" customFormat="1" x14ac:dyDescent="0.3">
      <c r="A391" s="4" t="s">
        <v>298</v>
      </c>
      <c r="B391" s="5">
        <v>76</v>
      </c>
      <c r="C391" s="5">
        <v>2021</v>
      </c>
      <c r="D391" s="6">
        <f t="shared" si="31"/>
        <v>26.592105263157894</v>
      </c>
      <c r="E391" s="5">
        <v>8</v>
      </c>
      <c r="F391" s="5">
        <v>96</v>
      </c>
      <c r="G391" s="6">
        <f t="shared" si="30"/>
        <v>12</v>
      </c>
      <c r="H391" s="5">
        <v>39</v>
      </c>
      <c r="I391" s="5"/>
    </row>
    <row r="392" spans="1:9" s="12" customFormat="1" x14ac:dyDescent="0.3">
      <c r="A392" s="4" t="s">
        <v>432</v>
      </c>
      <c r="B392" s="4">
        <v>1</v>
      </c>
      <c r="C392" s="4">
        <v>47</v>
      </c>
      <c r="D392" s="11">
        <f t="shared" si="31"/>
        <v>47</v>
      </c>
      <c r="E392" s="4">
        <v>0</v>
      </c>
      <c r="F392" s="4">
        <v>18</v>
      </c>
      <c r="G392" s="11">
        <f t="shared" si="30"/>
        <v>0</v>
      </c>
      <c r="H392" s="4">
        <v>2</v>
      </c>
      <c r="I392" s="4"/>
    </row>
    <row r="393" spans="1:9" s="12" customFormat="1" x14ac:dyDescent="0.3">
      <c r="A393" s="4" t="s">
        <v>444</v>
      </c>
      <c r="B393" s="4">
        <v>1</v>
      </c>
      <c r="C393" s="4">
        <v>0</v>
      </c>
      <c r="D393" s="11">
        <f t="shared" si="31"/>
        <v>0</v>
      </c>
      <c r="E393" s="4">
        <v>1</v>
      </c>
      <c r="F393" s="4">
        <v>24</v>
      </c>
      <c r="G393" s="11">
        <f t="shared" si="30"/>
        <v>24</v>
      </c>
      <c r="H393" s="4"/>
      <c r="I393" s="4"/>
    </row>
    <row r="394" spans="1:9" x14ac:dyDescent="0.3">
      <c r="A394" s="4" t="s">
        <v>462</v>
      </c>
      <c r="B394" s="4">
        <v>12</v>
      </c>
      <c r="C394" s="4">
        <v>26</v>
      </c>
      <c r="D394" s="11">
        <f t="shared" si="31"/>
        <v>2.1666666666666665</v>
      </c>
      <c r="E394" s="4">
        <f>13+12+5</f>
        <v>30</v>
      </c>
      <c r="F394" s="4">
        <f>260+270+62</f>
        <v>592</v>
      </c>
      <c r="G394" s="11">
        <f t="shared" si="30"/>
        <v>19.733333333333334</v>
      </c>
      <c r="H394" s="4">
        <v>7</v>
      </c>
      <c r="I394" s="4"/>
    </row>
    <row r="395" spans="1:9" x14ac:dyDescent="0.3">
      <c r="A395" s="4" t="s">
        <v>299</v>
      </c>
      <c r="B395" s="5">
        <v>7</v>
      </c>
      <c r="C395" s="5">
        <v>193</v>
      </c>
      <c r="D395" s="6">
        <f t="shared" si="31"/>
        <v>27.571428571428573</v>
      </c>
      <c r="E395" s="5">
        <v>9</v>
      </c>
      <c r="F395" s="5">
        <v>247</v>
      </c>
      <c r="G395" s="6">
        <f t="shared" si="30"/>
        <v>27.444444444444443</v>
      </c>
      <c r="H395" s="5">
        <v>9</v>
      </c>
      <c r="I395" s="5"/>
    </row>
    <row r="396" spans="1:9" s="12" customFormat="1" x14ac:dyDescent="0.3">
      <c r="A396" s="4" t="s">
        <v>300</v>
      </c>
      <c r="B396" s="5">
        <v>10</v>
      </c>
      <c r="C396" s="5">
        <v>21</v>
      </c>
      <c r="D396" s="6">
        <f t="shared" si="31"/>
        <v>2.1</v>
      </c>
      <c r="E396" s="5">
        <v>9</v>
      </c>
      <c r="F396" s="5">
        <v>191</v>
      </c>
      <c r="G396" s="6">
        <f t="shared" si="30"/>
        <v>21.222222222222221</v>
      </c>
      <c r="H396" s="5">
        <v>1</v>
      </c>
      <c r="I396" s="5"/>
    </row>
    <row r="397" spans="1:9" x14ac:dyDescent="0.3">
      <c r="A397" s="4" t="s">
        <v>446</v>
      </c>
      <c r="B397" s="4">
        <f>6+5+8</f>
        <v>19</v>
      </c>
      <c r="C397" s="4">
        <f>66+18+98</f>
        <v>182</v>
      </c>
      <c r="D397" s="11">
        <f t="shared" si="31"/>
        <v>9.5789473684210531</v>
      </c>
      <c r="E397" s="4">
        <f>2+1+8</f>
        <v>11</v>
      </c>
      <c r="F397" s="4">
        <f>89+5+164</f>
        <v>258</v>
      </c>
      <c r="G397" s="11">
        <f t="shared" si="30"/>
        <v>23.454545454545453</v>
      </c>
      <c r="H397" s="4">
        <f>2+2</f>
        <v>4</v>
      </c>
      <c r="I397" s="4"/>
    </row>
    <row r="398" spans="1:9" x14ac:dyDescent="0.3">
      <c r="A398" s="4" t="s">
        <v>301</v>
      </c>
      <c r="B398" s="5">
        <v>16</v>
      </c>
      <c r="C398" s="5">
        <v>351</v>
      </c>
      <c r="D398" s="6">
        <f t="shared" si="31"/>
        <v>21.9375</v>
      </c>
      <c r="E398" s="5">
        <v>17</v>
      </c>
      <c r="F398" s="5">
        <v>411</v>
      </c>
      <c r="G398" s="6">
        <f t="shared" si="30"/>
        <v>24.176470588235293</v>
      </c>
      <c r="H398" s="5">
        <v>5</v>
      </c>
      <c r="I398" s="5"/>
    </row>
    <row r="399" spans="1:9" x14ac:dyDescent="0.3">
      <c r="A399" s="4" t="s">
        <v>302</v>
      </c>
      <c r="B399" s="5">
        <v>19</v>
      </c>
      <c r="C399" s="5">
        <v>603</v>
      </c>
      <c r="D399" s="6">
        <f t="shared" si="31"/>
        <v>31.736842105263158</v>
      </c>
      <c r="E399" s="5">
        <v>3</v>
      </c>
      <c r="F399" s="5">
        <v>94</v>
      </c>
      <c r="G399" s="6">
        <f t="shared" si="30"/>
        <v>31.333333333333332</v>
      </c>
      <c r="H399" s="5">
        <v>40</v>
      </c>
      <c r="I399" s="5"/>
    </row>
    <row r="400" spans="1:9" x14ac:dyDescent="0.3">
      <c r="A400" s="4" t="s">
        <v>303</v>
      </c>
      <c r="B400" s="5">
        <v>0</v>
      </c>
      <c r="C400" s="5">
        <v>23</v>
      </c>
      <c r="D400" s="6">
        <f t="shared" si="31"/>
        <v>0</v>
      </c>
      <c r="E400" s="5">
        <v>0</v>
      </c>
      <c r="F400" s="5">
        <v>0</v>
      </c>
      <c r="G400" s="6">
        <f t="shared" si="30"/>
        <v>0</v>
      </c>
      <c r="H400" s="5">
        <v>4</v>
      </c>
      <c r="I400" s="5"/>
    </row>
    <row r="401" spans="1:9" x14ac:dyDescent="0.3">
      <c r="A401" s="4" t="s">
        <v>304</v>
      </c>
      <c r="B401" s="5">
        <v>17</v>
      </c>
      <c r="C401" s="5">
        <v>75</v>
      </c>
      <c r="D401" s="6">
        <f t="shared" si="31"/>
        <v>4.4117647058823533</v>
      </c>
      <c r="E401" s="5"/>
      <c r="F401" s="5"/>
      <c r="G401" s="6">
        <f t="shared" si="30"/>
        <v>0</v>
      </c>
      <c r="H401" s="5"/>
      <c r="I401" s="5"/>
    </row>
    <row r="402" spans="1:9" x14ac:dyDescent="0.3">
      <c r="A402" s="4" t="s">
        <v>305</v>
      </c>
      <c r="B402" s="5">
        <v>6</v>
      </c>
      <c r="C402" s="5">
        <v>71</v>
      </c>
      <c r="D402" s="6">
        <f t="shared" si="31"/>
        <v>11.833333333333334</v>
      </c>
      <c r="E402" s="5">
        <v>33</v>
      </c>
      <c r="F402" s="5">
        <v>544</v>
      </c>
      <c r="G402" s="6">
        <f t="shared" si="30"/>
        <v>16.484848484848484</v>
      </c>
      <c r="H402" s="5">
        <v>7</v>
      </c>
      <c r="I402" s="5"/>
    </row>
    <row r="403" spans="1:9" x14ac:dyDescent="0.3">
      <c r="A403" s="4" t="s">
        <v>306</v>
      </c>
      <c r="B403" s="5">
        <v>1</v>
      </c>
      <c r="C403" s="5">
        <v>0</v>
      </c>
      <c r="D403" s="6">
        <f t="shared" si="31"/>
        <v>0</v>
      </c>
      <c r="E403" s="5">
        <v>3</v>
      </c>
      <c r="F403" s="5">
        <v>33</v>
      </c>
      <c r="G403" s="6">
        <f t="shared" si="30"/>
        <v>11</v>
      </c>
      <c r="H403" s="5"/>
      <c r="I403" s="5"/>
    </row>
    <row r="404" spans="1:9" x14ac:dyDescent="0.3">
      <c r="A404" s="4" t="s">
        <v>307</v>
      </c>
      <c r="B404" s="5"/>
      <c r="C404" s="5"/>
      <c r="D404" s="6">
        <f t="shared" si="31"/>
        <v>0</v>
      </c>
      <c r="E404" s="5"/>
      <c r="F404" s="5"/>
      <c r="G404" s="6">
        <f t="shared" si="30"/>
        <v>0</v>
      </c>
      <c r="H404" s="5">
        <v>1</v>
      </c>
      <c r="I404" s="5"/>
    </row>
    <row r="405" spans="1:9" x14ac:dyDescent="0.3">
      <c r="A405" s="4" t="s">
        <v>308</v>
      </c>
      <c r="B405" s="5">
        <f>1</f>
        <v>1</v>
      </c>
      <c r="C405" s="5">
        <f>3</f>
        <v>3</v>
      </c>
      <c r="D405" s="6">
        <f t="shared" si="31"/>
        <v>3</v>
      </c>
      <c r="E405" s="5">
        <f>0</f>
        <v>0</v>
      </c>
      <c r="F405" s="5">
        <f>5</f>
        <v>5</v>
      </c>
      <c r="G405" s="6">
        <f t="shared" si="30"/>
        <v>0</v>
      </c>
      <c r="H405" s="5">
        <f>0</f>
        <v>0</v>
      </c>
      <c r="I405" s="14"/>
    </row>
    <row r="406" spans="1:9" x14ac:dyDescent="0.3">
      <c r="A406" s="4" t="s">
        <v>309</v>
      </c>
      <c r="B406" s="5">
        <f>0</f>
        <v>0</v>
      </c>
      <c r="C406" s="5">
        <f>0</f>
        <v>0</v>
      </c>
      <c r="D406" s="6">
        <f t="shared" si="31"/>
        <v>0</v>
      </c>
      <c r="E406" s="5">
        <f>0</f>
        <v>0</v>
      </c>
      <c r="F406" s="5">
        <f>0</f>
        <v>0</v>
      </c>
      <c r="G406" s="6">
        <f t="shared" si="30"/>
        <v>0</v>
      </c>
      <c r="H406" s="5">
        <f>1</f>
        <v>1</v>
      </c>
      <c r="I406" s="5"/>
    </row>
    <row r="407" spans="1:9" s="9" customFormat="1" x14ac:dyDescent="0.3">
      <c r="A407" s="7" t="s">
        <v>526</v>
      </c>
      <c r="B407" s="7">
        <f>8</f>
        <v>8</v>
      </c>
      <c r="C407" s="7">
        <f>47</f>
        <v>47</v>
      </c>
      <c r="D407" s="8">
        <f t="shared" si="31"/>
        <v>5.875</v>
      </c>
      <c r="E407" s="7"/>
      <c r="F407" s="7"/>
      <c r="G407" s="8"/>
      <c r="H407" s="7">
        <f>3</f>
        <v>3</v>
      </c>
      <c r="I407" s="7"/>
    </row>
    <row r="408" spans="1:9" x14ac:dyDescent="0.3">
      <c r="A408" s="4" t="s">
        <v>310</v>
      </c>
      <c r="B408" s="5"/>
      <c r="C408" s="5"/>
      <c r="D408" s="6">
        <f t="shared" si="31"/>
        <v>0</v>
      </c>
      <c r="E408" s="5"/>
      <c r="F408" s="5"/>
      <c r="G408" s="6">
        <f t="shared" si="30"/>
        <v>0</v>
      </c>
      <c r="H408" s="5">
        <v>1</v>
      </c>
      <c r="I408" s="5"/>
    </row>
    <row r="409" spans="1:9" x14ac:dyDescent="0.3">
      <c r="A409" s="4" t="s">
        <v>311</v>
      </c>
      <c r="B409" s="5">
        <v>43</v>
      </c>
      <c r="C409" s="5">
        <v>841</v>
      </c>
      <c r="D409" s="6">
        <f t="shared" si="31"/>
        <v>19.558139534883722</v>
      </c>
      <c r="E409" s="5">
        <v>143</v>
      </c>
      <c r="F409" s="5">
        <v>1728</v>
      </c>
      <c r="G409" s="6">
        <f t="shared" si="30"/>
        <v>12.083916083916083</v>
      </c>
      <c r="H409" s="5">
        <v>23</v>
      </c>
      <c r="I409" s="5"/>
    </row>
    <row r="410" spans="1:9" x14ac:dyDescent="0.3">
      <c r="A410" s="4" t="s">
        <v>312</v>
      </c>
      <c r="B410" s="5">
        <v>5</v>
      </c>
      <c r="C410" s="5">
        <v>35</v>
      </c>
      <c r="D410" s="6">
        <f t="shared" si="31"/>
        <v>7</v>
      </c>
      <c r="E410" s="5"/>
      <c r="F410" s="5"/>
      <c r="G410" s="6">
        <f t="shared" si="30"/>
        <v>0</v>
      </c>
      <c r="H410" s="5">
        <v>3</v>
      </c>
      <c r="I410" s="5"/>
    </row>
    <row r="411" spans="1:9" x14ac:dyDescent="0.3">
      <c r="A411" s="4" t="s">
        <v>313</v>
      </c>
      <c r="B411" s="5">
        <v>7</v>
      </c>
      <c r="C411" s="5">
        <v>58</v>
      </c>
      <c r="D411" s="6">
        <f t="shared" si="31"/>
        <v>8.2857142857142865</v>
      </c>
      <c r="E411" s="5">
        <v>11</v>
      </c>
      <c r="F411" s="5">
        <v>189</v>
      </c>
      <c r="G411" s="6">
        <f t="shared" si="30"/>
        <v>17.181818181818183</v>
      </c>
      <c r="H411" s="5">
        <v>7</v>
      </c>
      <c r="I411" s="5"/>
    </row>
    <row r="412" spans="1:9" x14ac:dyDescent="0.3">
      <c r="A412" s="4" t="s">
        <v>314</v>
      </c>
      <c r="B412" s="5">
        <v>16</v>
      </c>
      <c r="C412" s="5">
        <v>221</v>
      </c>
      <c r="D412" s="6">
        <f t="shared" si="31"/>
        <v>13.8125</v>
      </c>
      <c r="E412" s="5">
        <v>34</v>
      </c>
      <c r="F412" s="5">
        <v>336</v>
      </c>
      <c r="G412" s="6">
        <f t="shared" si="30"/>
        <v>9.882352941176471</v>
      </c>
      <c r="H412" s="5">
        <v>4</v>
      </c>
      <c r="I412" s="5"/>
    </row>
    <row r="413" spans="1:9" x14ac:dyDescent="0.3">
      <c r="A413" s="4" t="s">
        <v>315</v>
      </c>
      <c r="B413" s="5">
        <v>8</v>
      </c>
      <c r="C413" s="5">
        <v>48</v>
      </c>
      <c r="D413" s="6">
        <f t="shared" si="31"/>
        <v>6</v>
      </c>
      <c r="E413" s="5"/>
      <c r="F413" s="5"/>
      <c r="G413" s="6">
        <f t="shared" si="30"/>
        <v>0</v>
      </c>
      <c r="H413" s="5">
        <v>5</v>
      </c>
      <c r="I413" s="5"/>
    </row>
    <row r="414" spans="1:9" x14ac:dyDescent="0.3">
      <c r="A414" s="4" t="s">
        <v>316</v>
      </c>
      <c r="B414" s="5">
        <v>41</v>
      </c>
      <c r="C414" s="5">
        <v>1059</v>
      </c>
      <c r="D414" s="6">
        <f t="shared" si="31"/>
        <v>25.829268292682926</v>
      </c>
      <c r="E414" s="5">
        <v>84</v>
      </c>
      <c r="F414" s="5">
        <v>1295</v>
      </c>
      <c r="G414" s="6">
        <f t="shared" si="30"/>
        <v>15.416666666666666</v>
      </c>
      <c r="H414" s="5">
        <v>19</v>
      </c>
      <c r="I414" s="5"/>
    </row>
    <row r="415" spans="1:9" x14ac:dyDescent="0.3">
      <c r="A415" s="4" t="s">
        <v>317</v>
      </c>
      <c r="B415" s="5">
        <v>9</v>
      </c>
      <c r="C415" s="5">
        <v>94</v>
      </c>
      <c r="D415" s="6">
        <f t="shared" si="31"/>
        <v>10.444444444444445</v>
      </c>
      <c r="E415" s="5">
        <v>29</v>
      </c>
      <c r="F415" s="5">
        <v>260</v>
      </c>
      <c r="G415" s="6">
        <f t="shared" si="30"/>
        <v>8.9655172413793096</v>
      </c>
      <c r="H415" s="5">
        <v>5</v>
      </c>
      <c r="I415" s="5"/>
    </row>
    <row r="416" spans="1:9" x14ac:dyDescent="0.3">
      <c r="A416" s="4" t="s">
        <v>429</v>
      </c>
      <c r="B416" s="4">
        <v>4</v>
      </c>
      <c r="C416" s="4">
        <v>43</v>
      </c>
      <c r="D416" s="11">
        <f t="shared" si="31"/>
        <v>10.75</v>
      </c>
      <c r="E416" s="4">
        <v>14</v>
      </c>
      <c r="F416" s="4">
        <f>42+216+33</f>
        <v>291</v>
      </c>
      <c r="G416" s="11">
        <f t="shared" si="30"/>
        <v>20.785714285714285</v>
      </c>
      <c r="H416" s="4">
        <v>6</v>
      </c>
      <c r="I416" s="4"/>
    </row>
    <row r="417" spans="1:9" s="12" customFormat="1" x14ac:dyDescent="0.3">
      <c r="A417" s="4" t="s">
        <v>318</v>
      </c>
      <c r="B417" s="5">
        <v>33</v>
      </c>
      <c r="C417" s="5">
        <v>445</v>
      </c>
      <c r="D417" s="6">
        <f t="shared" si="31"/>
        <v>13.484848484848484</v>
      </c>
      <c r="E417" s="5">
        <v>53</v>
      </c>
      <c r="F417" s="5">
        <v>630</v>
      </c>
      <c r="G417" s="6">
        <f t="shared" ref="G417:G447" si="32">IF(E417=0,0,F417/E417)</f>
        <v>11.886792452830189</v>
      </c>
      <c r="H417" s="5">
        <v>15</v>
      </c>
      <c r="I417" s="5"/>
    </row>
    <row r="418" spans="1:9" s="12" customFormat="1" x14ac:dyDescent="0.3">
      <c r="A418" s="4" t="s">
        <v>445</v>
      </c>
      <c r="B418" s="4">
        <v>24</v>
      </c>
      <c r="C418" s="4">
        <f>25+24+237+26+78</f>
        <v>390</v>
      </c>
      <c r="D418" s="11">
        <f t="shared" si="31"/>
        <v>16.25</v>
      </c>
      <c r="E418" s="4">
        <f>12+7+1</f>
        <v>20</v>
      </c>
      <c r="F418" s="4">
        <f>201+74+22</f>
        <v>297</v>
      </c>
      <c r="G418" s="11">
        <f t="shared" si="32"/>
        <v>14.85</v>
      </c>
      <c r="H418" s="4">
        <v>13</v>
      </c>
      <c r="I418" s="4"/>
    </row>
    <row r="419" spans="1:9" x14ac:dyDescent="0.3">
      <c r="A419" s="4" t="s">
        <v>319</v>
      </c>
      <c r="B419" s="5">
        <v>27</v>
      </c>
      <c r="C419" s="5">
        <v>401</v>
      </c>
      <c r="D419" s="6">
        <f t="shared" si="31"/>
        <v>14.851851851851851</v>
      </c>
      <c r="E419" s="5"/>
      <c r="F419" s="5"/>
      <c r="G419" s="6">
        <f t="shared" si="32"/>
        <v>0</v>
      </c>
      <c r="H419" s="5">
        <v>30</v>
      </c>
      <c r="I419" s="5"/>
    </row>
    <row r="420" spans="1:9" x14ac:dyDescent="0.3">
      <c r="A420" s="4" t="s">
        <v>320</v>
      </c>
      <c r="B420" s="5">
        <v>9</v>
      </c>
      <c r="C420" s="5">
        <v>303</v>
      </c>
      <c r="D420" s="6">
        <f t="shared" ref="D420:D447" si="33">IF(B420=0,0,C420/B420)</f>
        <v>33.666666666666664</v>
      </c>
      <c r="E420" s="5">
        <v>20</v>
      </c>
      <c r="F420" s="5">
        <v>361</v>
      </c>
      <c r="G420" s="6">
        <f t="shared" si="32"/>
        <v>18.05</v>
      </c>
      <c r="H420" s="5">
        <v>4</v>
      </c>
      <c r="I420" s="5"/>
    </row>
    <row r="421" spans="1:9" x14ac:dyDescent="0.3">
      <c r="A421" s="4" t="s">
        <v>321</v>
      </c>
      <c r="B421" s="5">
        <v>2</v>
      </c>
      <c r="C421" s="5">
        <v>1</v>
      </c>
      <c r="D421" s="6">
        <f t="shared" si="33"/>
        <v>0.5</v>
      </c>
      <c r="E421" s="5">
        <v>4</v>
      </c>
      <c r="F421" s="5">
        <v>86</v>
      </c>
      <c r="G421" s="6">
        <f t="shared" si="32"/>
        <v>21.5</v>
      </c>
      <c r="H421" s="5"/>
      <c r="I421" s="5"/>
    </row>
    <row r="422" spans="1:9" x14ac:dyDescent="0.3">
      <c r="A422" s="4" t="s">
        <v>322</v>
      </c>
      <c r="B422" s="5">
        <v>19</v>
      </c>
      <c r="C422" s="5">
        <v>230</v>
      </c>
      <c r="D422" s="6">
        <f t="shared" si="33"/>
        <v>12.105263157894736</v>
      </c>
      <c r="E422" s="5">
        <v>31</v>
      </c>
      <c r="F422" s="5">
        <v>352</v>
      </c>
      <c r="G422" s="6">
        <f t="shared" si="32"/>
        <v>11.35483870967742</v>
      </c>
      <c r="H422" s="5">
        <v>6</v>
      </c>
      <c r="I422" s="5"/>
    </row>
    <row r="423" spans="1:9" s="12" customFormat="1" x14ac:dyDescent="0.3">
      <c r="A423" s="4" t="s">
        <v>323</v>
      </c>
      <c r="B423" s="5">
        <v>8</v>
      </c>
      <c r="C423" s="5">
        <v>47</v>
      </c>
      <c r="D423" s="6">
        <f t="shared" si="33"/>
        <v>5.875</v>
      </c>
      <c r="E423" s="5"/>
      <c r="F423" s="5"/>
      <c r="G423" s="6">
        <f t="shared" si="32"/>
        <v>0</v>
      </c>
      <c r="H423" s="5">
        <v>3</v>
      </c>
      <c r="I423" s="5"/>
    </row>
    <row r="424" spans="1:9" x14ac:dyDescent="0.3">
      <c r="A424" s="4" t="s">
        <v>324</v>
      </c>
      <c r="B424" s="4">
        <v>52</v>
      </c>
      <c r="C424" s="4">
        <f>901+62</f>
        <v>963</v>
      </c>
      <c r="D424" s="11">
        <f t="shared" si="33"/>
        <v>18.51923076923077</v>
      </c>
      <c r="E424" s="4">
        <v>14</v>
      </c>
      <c r="F424" s="4">
        <v>302</v>
      </c>
      <c r="G424" s="11">
        <f t="shared" si="32"/>
        <v>21.571428571428573</v>
      </c>
      <c r="H424" s="4">
        <v>20</v>
      </c>
      <c r="I424" s="4"/>
    </row>
    <row r="425" spans="1:9" x14ac:dyDescent="0.3">
      <c r="A425" s="4" t="s">
        <v>325</v>
      </c>
      <c r="B425" s="5">
        <v>5</v>
      </c>
      <c r="C425" s="5">
        <v>56</v>
      </c>
      <c r="D425" s="6">
        <f t="shared" si="33"/>
        <v>11.2</v>
      </c>
      <c r="E425" s="5"/>
      <c r="F425" s="5"/>
      <c r="G425" s="6">
        <f t="shared" si="32"/>
        <v>0</v>
      </c>
      <c r="H425" s="5"/>
      <c r="I425" s="5"/>
    </row>
    <row r="426" spans="1:9" x14ac:dyDescent="0.3">
      <c r="A426" s="4" t="s">
        <v>326</v>
      </c>
      <c r="B426" s="4">
        <f>1+5</f>
        <v>6</v>
      </c>
      <c r="C426" s="4">
        <f>7+6</f>
        <v>13</v>
      </c>
      <c r="D426" s="6">
        <f t="shared" si="33"/>
        <v>2.1666666666666665</v>
      </c>
      <c r="E426" s="4">
        <f>1+0</f>
        <v>1</v>
      </c>
      <c r="F426" s="4">
        <f>23+25</f>
        <v>48</v>
      </c>
      <c r="G426" s="6">
        <f t="shared" si="32"/>
        <v>48</v>
      </c>
      <c r="H426" s="4">
        <v>12</v>
      </c>
      <c r="I426" s="4"/>
    </row>
    <row r="427" spans="1:9" x14ac:dyDescent="0.3">
      <c r="A427" s="4" t="s">
        <v>327</v>
      </c>
      <c r="B427" s="5">
        <v>2</v>
      </c>
      <c r="C427" s="5">
        <v>30</v>
      </c>
      <c r="D427" s="6">
        <f t="shared" si="33"/>
        <v>15</v>
      </c>
      <c r="E427" s="5"/>
      <c r="F427" s="5"/>
      <c r="G427" s="6">
        <f t="shared" si="32"/>
        <v>0</v>
      </c>
      <c r="H427" s="5"/>
      <c r="I427" s="5"/>
    </row>
    <row r="428" spans="1:9" x14ac:dyDescent="0.3">
      <c r="A428" s="4" t="s">
        <v>328</v>
      </c>
      <c r="B428" s="5">
        <v>42</v>
      </c>
      <c r="C428" s="5">
        <v>314</v>
      </c>
      <c r="D428" s="6">
        <f t="shared" si="33"/>
        <v>7.4761904761904763</v>
      </c>
      <c r="E428" s="5">
        <v>58</v>
      </c>
      <c r="F428" s="5">
        <v>638</v>
      </c>
      <c r="G428" s="6">
        <f t="shared" si="32"/>
        <v>11</v>
      </c>
      <c r="H428" s="5">
        <v>23</v>
      </c>
      <c r="I428" s="5"/>
    </row>
    <row r="429" spans="1:9" x14ac:dyDescent="0.3">
      <c r="A429" s="4" t="s">
        <v>329</v>
      </c>
      <c r="B429" s="5">
        <v>32</v>
      </c>
      <c r="C429" s="5">
        <v>194</v>
      </c>
      <c r="D429" s="6">
        <f t="shared" si="33"/>
        <v>6.0625</v>
      </c>
      <c r="E429" s="5"/>
      <c r="F429" s="5"/>
      <c r="G429" s="6">
        <f t="shared" si="32"/>
        <v>0</v>
      </c>
      <c r="H429" s="5">
        <v>9</v>
      </c>
      <c r="I429" s="5"/>
    </row>
    <row r="430" spans="1:9" s="12" customFormat="1" x14ac:dyDescent="0.3">
      <c r="A430" s="4" t="s">
        <v>330</v>
      </c>
      <c r="B430" s="5">
        <v>3</v>
      </c>
      <c r="C430" s="5">
        <v>29</v>
      </c>
      <c r="D430" s="6">
        <f t="shared" si="33"/>
        <v>9.6666666666666661</v>
      </c>
      <c r="E430" s="5">
        <v>5</v>
      </c>
      <c r="F430" s="5">
        <v>88</v>
      </c>
      <c r="G430" s="6">
        <f t="shared" si="32"/>
        <v>17.600000000000001</v>
      </c>
      <c r="H430" s="5">
        <v>1</v>
      </c>
      <c r="I430" s="5"/>
    </row>
    <row r="431" spans="1:9" x14ac:dyDescent="0.3">
      <c r="A431" s="4" t="s">
        <v>411</v>
      </c>
      <c r="B431" s="4">
        <v>18</v>
      </c>
      <c r="C431" s="4">
        <v>131</v>
      </c>
      <c r="D431" s="11">
        <f t="shared" si="33"/>
        <v>7.2777777777777777</v>
      </c>
      <c r="E431" s="4">
        <f>45+6+3</f>
        <v>54</v>
      </c>
      <c r="F431" s="4">
        <f>732+101+58+12</f>
        <v>903</v>
      </c>
      <c r="G431" s="11">
        <f t="shared" si="32"/>
        <v>16.722222222222221</v>
      </c>
      <c r="H431" s="4">
        <f>19+1</f>
        <v>20</v>
      </c>
      <c r="I431" s="4"/>
    </row>
    <row r="432" spans="1:9" s="12" customFormat="1" x14ac:dyDescent="0.3">
      <c r="A432" s="4" t="s">
        <v>331</v>
      </c>
      <c r="B432" s="4">
        <f>68+2+4+9+5+6+3+2</f>
        <v>99</v>
      </c>
      <c r="C432" s="4">
        <f>1107+95+295+185+113+126+332+205+240+13+85</f>
        <v>2796</v>
      </c>
      <c r="D432" s="11">
        <f t="shared" si="33"/>
        <v>28.242424242424242</v>
      </c>
      <c r="E432" s="4">
        <v>2</v>
      </c>
      <c r="F432" s="4">
        <v>98</v>
      </c>
      <c r="G432" s="11">
        <f t="shared" si="32"/>
        <v>49</v>
      </c>
      <c r="H432" s="4">
        <f>31+3+2+7+3+2+1</f>
        <v>49</v>
      </c>
      <c r="I432" s="4">
        <f>2+1</f>
        <v>3</v>
      </c>
    </row>
    <row r="433" spans="1:9" x14ac:dyDescent="0.3">
      <c r="A433" s="4" t="s">
        <v>332</v>
      </c>
      <c r="B433" s="5">
        <f>20+10</f>
        <v>30</v>
      </c>
      <c r="C433" s="5">
        <f>448+296</f>
        <v>744</v>
      </c>
      <c r="D433" s="6">
        <f t="shared" si="33"/>
        <v>24.8</v>
      </c>
      <c r="E433" s="5">
        <f>23+15</f>
        <v>38</v>
      </c>
      <c r="F433" s="5">
        <f>428+285</f>
        <v>713</v>
      </c>
      <c r="G433" s="6">
        <f t="shared" si="32"/>
        <v>18.763157894736842</v>
      </c>
      <c r="H433" s="5">
        <f>6+10</f>
        <v>16</v>
      </c>
      <c r="I433" s="5"/>
    </row>
    <row r="434" spans="1:9" x14ac:dyDescent="0.3">
      <c r="A434" s="4" t="s">
        <v>333</v>
      </c>
      <c r="B434" s="5">
        <v>33</v>
      </c>
      <c r="C434" s="5">
        <v>538</v>
      </c>
      <c r="D434" s="6">
        <f t="shared" si="33"/>
        <v>16.303030303030305</v>
      </c>
      <c r="E434" s="5">
        <v>1</v>
      </c>
      <c r="F434" s="5">
        <v>29</v>
      </c>
      <c r="G434" s="6">
        <f t="shared" si="32"/>
        <v>29</v>
      </c>
      <c r="H434" s="5">
        <v>7</v>
      </c>
      <c r="I434" s="5"/>
    </row>
    <row r="435" spans="1:9" x14ac:dyDescent="0.3">
      <c r="A435" s="4" t="s">
        <v>334</v>
      </c>
      <c r="B435" s="5">
        <v>17</v>
      </c>
      <c r="C435" s="5">
        <v>105</v>
      </c>
      <c r="D435" s="6">
        <f t="shared" si="33"/>
        <v>6.1764705882352944</v>
      </c>
      <c r="E435" s="5">
        <v>88</v>
      </c>
      <c r="F435" s="5">
        <v>1007</v>
      </c>
      <c r="G435" s="6">
        <f t="shared" si="32"/>
        <v>11.443181818181818</v>
      </c>
      <c r="H435" s="5">
        <v>14</v>
      </c>
      <c r="I435" s="5"/>
    </row>
    <row r="436" spans="1:9" x14ac:dyDescent="0.3">
      <c r="A436" s="4" t="s">
        <v>335</v>
      </c>
      <c r="B436" s="4">
        <f>4</f>
        <v>4</v>
      </c>
      <c r="C436" s="4">
        <f>36</f>
        <v>36</v>
      </c>
      <c r="D436" s="6">
        <f t="shared" si="33"/>
        <v>9</v>
      </c>
      <c r="E436" s="4">
        <f>14</f>
        <v>14</v>
      </c>
      <c r="F436" s="4">
        <f>281</f>
        <v>281</v>
      </c>
      <c r="G436" s="6">
        <f t="shared" si="32"/>
        <v>20.071428571428573</v>
      </c>
      <c r="H436" s="4">
        <f>2</f>
        <v>2</v>
      </c>
      <c r="I436" s="4"/>
    </row>
    <row r="437" spans="1:9" x14ac:dyDescent="0.3">
      <c r="A437" s="4" t="s">
        <v>336</v>
      </c>
      <c r="B437" s="4">
        <v>2</v>
      </c>
      <c r="C437" s="4">
        <v>55</v>
      </c>
      <c r="D437" s="6">
        <f t="shared" si="33"/>
        <v>27.5</v>
      </c>
      <c r="E437" s="4">
        <v>15</v>
      </c>
      <c r="F437" s="4">
        <v>194</v>
      </c>
      <c r="G437" s="6">
        <f t="shared" si="32"/>
        <v>12.933333333333334</v>
      </c>
      <c r="H437" s="4">
        <v>2</v>
      </c>
      <c r="I437" s="4"/>
    </row>
    <row r="438" spans="1:9" s="9" customFormat="1" x14ac:dyDescent="0.3">
      <c r="A438" s="4" t="s">
        <v>337</v>
      </c>
      <c r="B438" s="4">
        <f>1+1</f>
        <v>2</v>
      </c>
      <c r="C438" s="4">
        <f>25+10</f>
        <v>35</v>
      </c>
      <c r="D438" s="6">
        <f t="shared" si="33"/>
        <v>17.5</v>
      </c>
      <c r="E438" s="4">
        <f>0+1</f>
        <v>1</v>
      </c>
      <c r="F438" s="4">
        <f>1+35</f>
        <v>36</v>
      </c>
      <c r="G438" s="6">
        <f t="shared" si="32"/>
        <v>36</v>
      </c>
      <c r="H438" s="4">
        <f>0</f>
        <v>0</v>
      </c>
      <c r="I438" s="4"/>
    </row>
    <row r="439" spans="1:9" x14ac:dyDescent="0.3">
      <c r="A439" s="7" t="s">
        <v>430</v>
      </c>
      <c r="B439" s="7">
        <f>5+4+6+7</f>
        <v>22</v>
      </c>
      <c r="C439" s="7">
        <f>26+18+100+101+130</f>
        <v>375</v>
      </c>
      <c r="D439" s="8">
        <f t="shared" si="33"/>
        <v>17.045454545454547</v>
      </c>
      <c r="E439" s="7">
        <f>6+17+12+14+14+13+1</f>
        <v>77</v>
      </c>
      <c r="F439" s="7">
        <f>39+148+281+236+178+270+172+11</f>
        <v>1335</v>
      </c>
      <c r="G439" s="8">
        <f t="shared" si="32"/>
        <v>17.337662337662337</v>
      </c>
      <c r="H439" s="7">
        <f>11+6+7+5+5</f>
        <v>34</v>
      </c>
      <c r="I439" s="7"/>
    </row>
    <row r="440" spans="1:9" x14ac:dyDescent="0.3">
      <c r="A440" s="4" t="s">
        <v>338</v>
      </c>
      <c r="B440" s="4">
        <f>4</f>
        <v>4</v>
      </c>
      <c r="C440" s="4">
        <f>12</f>
        <v>12</v>
      </c>
      <c r="D440" s="6">
        <f t="shared" si="33"/>
        <v>3</v>
      </c>
      <c r="E440" s="4">
        <f>0</f>
        <v>0</v>
      </c>
      <c r="F440" s="4">
        <f>0</f>
        <v>0</v>
      </c>
      <c r="G440" s="6">
        <f t="shared" si="32"/>
        <v>0</v>
      </c>
      <c r="H440" s="4">
        <f>0</f>
        <v>0</v>
      </c>
      <c r="I440" s="4"/>
    </row>
    <row r="441" spans="1:9" x14ac:dyDescent="0.3">
      <c r="A441" s="4" t="s">
        <v>339</v>
      </c>
      <c r="B441" s="4">
        <v>23</v>
      </c>
      <c r="C441" s="4">
        <v>473</v>
      </c>
      <c r="D441" s="6">
        <f t="shared" si="33"/>
        <v>20.565217391304348</v>
      </c>
      <c r="E441" s="4">
        <v>0</v>
      </c>
      <c r="F441" s="4">
        <v>0</v>
      </c>
      <c r="G441" s="6">
        <f t="shared" si="32"/>
        <v>0</v>
      </c>
      <c r="H441" s="4">
        <f>1+17</f>
        <v>18</v>
      </c>
      <c r="I441" s="4">
        <f>2</f>
        <v>2</v>
      </c>
    </row>
    <row r="442" spans="1:9" x14ac:dyDescent="0.3">
      <c r="A442" s="4" t="s">
        <v>340</v>
      </c>
      <c r="B442" s="5">
        <v>25</v>
      </c>
      <c r="C442" s="5">
        <v>951</v>
      </c>
      <c r="D442" s="6">
        <f t="shared" si="33"/>
        <v>38.04</v>
      </c>
      <c r="E442" s="5">
        <v>54</v>
      </c>
      <c r="F442" s="5">
        <v>615</v>
      </c>
      <c r="G442" s="6">
        <f t="shared" si="32"/>
        <v>11.388888888888889</v>
      </c>
      <c r="H442" s="5">
        <v>11</v>
      </c>
      <c r="I442" s="5"/>
    </row>
    <row r="443" spans="1:9" x14ac:dyDescent="0.3">
      <c r="A443" s="4" t="s">
        <v>341</v>
      </c>
      <c r="B443" s="5">
        <v>7</v>
      </c>
      <c r="C443" s="5">
        <v>19</v>
      </c>
      <c r="D443" s="6">
        <f t="shared" si="33"/>
        <v>2.7142857142857144</v>
      </c>
      <c r="E443" s="5"/>
      <c r="F443" s="5"/>
      <c r="G443" s="6">
        <f t="shared" si="32"/>
        <v>0</v>
      </c>
      <c r="H443" s="5">
        <v>1</v>
      </c>
      <c r="I443" s="5"/>
    </row>
    <row r="444" spans="1:9" x14ac:dyDescent="0.3">
      <c r="A444" s="4" t="s">
        <v>342</v>
      </c>
      <c r="B444" s="5">
        <v>2</v>
      </c>
      <c r="C444" s="5">
        <v>9</v>
      </c>
      <c r="D444" s="6">
        <f t="shared" si="33"/>
        <v>4.5</v>
      </c>
      <c r="E444" s="5">
        <v>3</v>
      </c>
      <c r="F444" s="5">
        <v>71</v>
      </c>
      <c r="G444" s="6">
        <f t="shared" si="32"/>
        <v>23.666666666666668</v>
      </c>
      <c r="H444" s="5"/>
      <c r="I444" s="5"/>
    </row>
    <row r="445" spans="1:9" x14ac:dyDescent="0.3">
      <c r="A445" s="4" t="s">
        <v>343</v>
      </c>
      <c r="B445" s="5"/>
      <c r="C445" s="5"/>
      <c r="D445" s="6">
        <f t="shared" si="33"/>
        <v>0</v>
      </c>
      <c r="E445" s="5"/>
      <c r="F445" s="5"/>
      <c r="G445" s="6">
        <f t="shared" si="32"/>
        <v>0</v>
      </c>
      <c r="H445" s="5">
        <v>1</v>
      </c>
      <c r="I445" s="5"/>
    </row>
    <row r="446" spans="1:9" s="12" customFormat="1" x14ac:dyDescent="0.3">
      <c r="A446" s="4" t="s">
        <v>344</v>
      </c>
      <c r="B446" s="5">
        <v>74</v>
      </c>
      <c r="C446" s="5">
        <v>734</v>
      </c>
      <c r="D446" s="6">
        <f t="shared" si="33"/>
        <v>9.9189189189189193</v>
      </c>
      <c r="E446" s="5">
        <v>5</v>
      </c>
      <c r="F446" s="5">
        <v>34</v>
      </c>
      <c r="G446" s="6">
        <f t="shared" si="32"/>
        <v>6.8</v>
      </c>
      <c r="H446" s="5">
        <v>12</v>
      </c>
      <c r="I446" s="5"/>
    </row>
    <row r="447" spans="1:9" s="9" customFormat="1" x14ac:dyDescent="0.3">
      <c r="A447" s="4" t="s">
        <v>495</v>
      </c>
      <c r="B447" s="4">
        <f>1</f>
        <v>1</v>
      </c>
      <c r="C447" s="4">
        <f>1</f>
        <v>1</v>
      </c>
      <c r="D447" s="11">
        <f t="shared" si="33"/>
        <v>1</v>
      </c>
      <c r="E447" s="4">
        <f>3</f>
        <v>3</v>
      </c>
      <c r="F447" s="4">
        <f>33</f>
        <v>33</v>
      </c>
      <c r="G447" s="11">
        <f t="shared" si="32"/>
        <v>11</v>
      </c>
      <c r="H447" s="4"/>
      <c r="I447" s="4"/>
    </row>
    <row r="448" spans="1:9" s="12" customFormat="1" x14ac:dyDescent="0.3">
      <c r="A448" s="4" t="s">
        <v>512</v>
      </c>
      <c r="B448" s="4">
        <f>0</f>
        <v>0</v>
      </c>
      <c r="C448" s="4"/>
      <c r="D448" s="11"/>
      <c r="E448" s="4"/>
      <c r="F448" s="4"/>
      <c r="G448" s="11"/>
      <c r="H448" s="4"/>
      <c r="I448" s="4"/>
    </row>
    <row r="449" spans="1:9" x14ac:dyDescent="0.3">
      <c r="A449" s="4" t="s">
        <v>486</v>
      </c>
      <c r="B449" s="4">
        <f>6</f>
        <v>6</v>
      </c>
      <c r="C449" s="4">
        <f>68</f>
        <v>68</v>
      </c>
      <c r="D449" s="11">
        <f t="shared" ref="D449:D480" si="34">IF(B449=0,0,C449/B449)</f>
        <v>11.333333333333334</v>
      </c>
      <c r="E449" s="4">
        <f>7</f>
        <v>7</v>
      </c>
      <c r="F449" s="4">
        <f>170</f>
        <v>170</v>
      </c>
      <c r="G449" s="11">
        <f t="shared" ref="G449:G480" si="35">IF(E449=0,0,F449/E449)</f>
        <v>24.285714285714285</v>
      </c>
      <c r="H449" s="4"/>
      <c r="I449" s="4"/>
    </row>
    <row r="450" spans="1:9" x14ac:dyDescent="0.3">
      <c r="A450" s="4" t="s">
        <v>345</v>
      </c>
      <c r="B450" s="5">
        <v>15</v>
      </c>
      <c r="C450" s="5">
        <v>304</v>
      </c>
      <c r="D450" s="6">
        <f t="shared" si="34"/>
        <v>20.266666666666666</v>
      </c>
      <c r="E450" s="5"/>
      <c r="F450" s="5"/>
      <c r="G450" s="6">
        <f t="shared" si="35"/>
        <v>0</v>
      </c>
      <c r="H450" s="5"/>
      <c r="I450" s="5"/>
    </row>
    <row r="451" spans="1:9" s="12" customFormat="1" x14ac:dyDescent="0.3">
      <c r="A451" s="4" t="s">
        <v>346</v>
      </c>
      <c r="B451" s="5">
        <v>5</v>
      </c>
      <c r="C451" s="5">
        <v>30</v>
      </c>
      <c r="D451" s="6">
        <f t="shared" si="34"/>
        <v>6</v>
      </c>
      <c r="E451" s="5"/>
      <c r="F451" s="5"/>
      <c r="G451" s="6">
        <f t="shared" si="35"/>
        <v>0</v>
      </c>
      <c r="H451" s="5">
        <v>14</v>
      </c>
      <c r="I451" s="5"/>
    </row>
    <row r="452" spans="1:9" s="12" customFormat="1" x14ac:dyDescent="0.3">
      <c r="A452" s="4" t="s">
        <v>347</v>
      </c>
      <c r="B452" s="4">
        <v>17</v>
      </c>
      <c r="C452" s="4">
        <v>152</v>
      </c>
      <c r="D452" s="11">
        <f t="shared" si="34"/>
        <v>8.9411764705882355</v>
      </c>
      <c r="E452" s="4">
        <f>14+20+19+17+6</f>
        <v>76</v>
      </c>
      <c r="F452" s="4">
        <f>348+457+367+267+105</f>
        <v>1544</v>
      </c>
      <c r="G452" s="11">
        <f t="shared" si="35"/>
        <v>20.315789473684209</v>
      </c>
      <c r="H452" s="4">
        <v>14</v>
      </c>
      <c r="I452" s="4"/>
    </row>
    <row r="453" spans="1:9" x14ac:dyDescent="0.3">
      <c r="A453" s="4" t="s">
        <v>452</v>
      </c>
      <c r="B453" s="4">
        <f>2+8</f>
        <v>10</v>
      </c>
      <c r="C453" s="4">
        <f>38</f>
        <v>38</v>
      </c>
      <c r="D453" s="11">
        <f t="shared" si="34"/>
        <v>3.8</v>
      </c>
      <c r="E453" s="4">
        <f>7+14</f>
        <v>21</v>
      </c>
      <c r="F453" s="4">
        <f>25+270</f>
        <v>295</v>
      </c>
      <c r="G453" s="11">
        <f t="shared" si="35"/>
        <v>14.047619047619047</v>
      </c>
      <c r="H453" s="4">
        <f>2+4</f>
        <v>6</v>
      </c>
      <c r="I453" s="4"/>
    </row>
    <row r="454" spans="1:9" x14ac:dyDescent="0.3">
      <c r="A454" s="4" t="s">
        <v>348</v>
      </c>
      <c r="B454" s="5">
        <v>9</v>
      </c>
      <c r="C454" s="5">
        <v>405</v>
      </c>
      <c r="D454" s="6">
        <f t="shared" si="34"/>
        <v>45</v>
      </c>
      <c r="E454" s="5"/>
      <c r="F454" s="5"/>
      <c r="G454" s="6">
        <f t="shared" si="35"/>
        <v>0</v>
      </c>
      <c r="H454" s="5">
        <v>4</v>
      </c>
      <c r="I454" s="5"/>
    </row>
    <row r="455" spans="1:9" x14ac:dyDescent="0.3">
      <c r="A455" s="4" t="s">
        <v>349</v>
      </c>
      <c r="B455" s="5">
        <v>7</v>
      </c>
      <c r="C455" s="5">
        <v>14</v>
      </c>
      <c r="D455" s="6">
        <f t="shared" si="34"/>
        <v>2</v>
      </c>
      <c r="E455" s="5"/>
      <c r="F455" s="5"/>
      <c r="G455" s="6">
        <f t="shared" si="35"/>
        <v>0</v>
      </c>
      <c r="H455" s="5"/>
      <c r="I455" s="5"/>
    </row>
    <row r="456" spans="1:9" x14ac:dyDescent="0.3">
      <c r="A456" s="4" t="s">
        <v>350</v>
      </c>
      <c r="B456" s="5">
        <v>8</v>
      </c>
      <c r="C456" s="5">
        <v>23</v>
      </c>
      <c r="D456" s="6">
        <f t="shared" si="34"/>
        <v>2.875</v>
      </c>
      <c r="E456" s="5">
        <v>2</v>
      </c>
      <c r="F456" s="5">
        <v>91</v>
      </c>
      <c r="G456" s="6">
        <f t="shared" si="35"/>
        <v>45.5</v>
      </c>
      <c r="H456" s="5"/>
      <c r="I456" s="5"/>
    </row>
    <row r="457" spans="1:9" x14ac:dyDescent="0.3">
      <c r="A457" s="4" t="s">
        <v>351</v>
      </c>
      <c r="B457" s="5">
        <v>2</v>
      </c>
      <c r="C457" s="5">
        <v>26</v>
      </c>
      <c r="D457" s="6">
        <f t="shared" si="34"/>
        <v>13</v>
      </c>
      <c r="E457" s="5">
        <v>0</v>
      </c>
      <c r="F457" s="5">
        <v>26</v>
      </c>
      <c r="G457" s="6">
        <f t="shared" si="35"/>
        <v>0</v>
      </c>
      <c r="H457" s="5"/>
      <c r="I457" s="5"/>
    </row>
    <row r="458" spans="1:9" x14ac:dyDescent="0.3">
      <c r="A458" s="4" t="s">
        <v>352</v>
      </c>
      <c r="B458" s="5">
        <v>14</v>
      </c>
      <c r="C458" s="5">
        <v>99</v>
      </c>
      <c r="D458" s="6">
        <f t="shared" si="34"/>
        <v>7.0714285714285712</v>
      </c>
      <c r="E458" s="5">
        <v>32</v>
      </c>
      <c r="F458" s="5">
        <v>1076</v>
      </c>
      <c r="G458" s="6">
        <f t="shared" si="35"/>
        <v>33.625</v>
      </c>
      <c r="H458" s="5">
        <v>4</v>
      </c>
      <c r="I458" s="5"/>
    </row>
    <row r="459" spans="1:9" s="9" customFormat="1" x14ac:dyDescent="0.3">
      <c r="A459" s="4" t="s">
        <v>353</v>
      </c>
      <c r="B459" s="4">
        <v>48</v>
      </c>
      <c r="C459" s="4">
        <v>1313</v>
      </c>
      <c r="D459" s="6">
        <f t="shared" si="34"/>
        <v>27.354166666666668</v>
      </c>
      <c r="E459" s="4">
        <v>79</v>
      </c>
      <c r="F459" s="4">
        <v>1120</v>
      </c>
      <c r="G459" s="6">
        <f t="shared" si="35"/>
        <v>14.177215189873417</v>
      </c>
      <c r="H459" s="4">
        <v>16</v>
      </c>
      <c r="I459" s="4"/>
    </row>
    <row r="460" spans="1:9" s="12" customFormat="1" x14ac:dyDescent="0.3">
      <c r="A460" s="4" t="s">
        <v>354</v>
      </c>
      <c r="B460" s="4">
        <v>40</v>
      </c>
      <c r="C460" s="4">
        <v>1031</v>
      </c>
      <c r="D460" s="11">
        <f t="shared" si="34"/>
        <v>25.774999999999999</v>
      </c>
      <c r="E460" s="4">
        <f>66+1+15</f>
        <v>82</v>
      </c>
      <c r="F460" s="4">
        <f>1022+10+119</f>
        <v>1151</v>
      </c>
      <c r="G460" s="11">
        <f t="shared" si="35"/>
        <v>14.036585365853659</v>
      </c>
      <c r="H460" s="4">
        <f>13+3</f>
        <v>16</v>
      </c>
      <c r="I460" s="4"/>
    </row>
    <row r="461" spans="1:9" x14ac:dyDescent="0.3">
      <c r="A461" s="7" t="s">
        <v>483</v>
      </c>
      <c r="B461" s="7">
        <f>1+3+4+6</f>
        <v>14</v>
      </c>
      <c r="C461" s="7">
        <f>1+2+9+63</f>
        <v>75</v>
      </c>
      <c r="D461" s="8">
        <f t="shared" si="34"/>
        <v>5.3571428571428568</v>
      </c>
      <c r="E461" s="7">
        <f>5+2+9+30</f>
        <v>46</v>
      </c>
      <c r="F461" s="7">
        <f>53+141+204+327</f>
        <v>725</v>
      </c>
      <c r="G461" s="8">
        <f t="shared" si="35"/>
        <v>15.760869565217391</v>
      </c>
      <c r="H461" s="7">
        <f>3+3+2</f>
        <v>8</v>
      </c>
      <c r="I461" s="7"/>
    </row>
    <row r="462" spans="1:9" x14ac:dyDescent="0.3">
      <c r="A462" s="4" t="s">
        <v>355</v>
      </c>
      <c r="B462" s="5">
        <v>2</v>
      </c>
      <c r="C462" s="5">
        <v>4</v>
      </c>
      <c r="D462" s="6">
        <f t="shared" si="34"/>
        <v>2</v>
      </c>
      <c r="E462" s="5">
        <v>8</v>
      </c>
      <c r="F462" s="5">
        <v>76</v>
      </c>
      <c r="G462" s="6">
        <f t="shared" si="35"/>
        <v>9.5</v>
      </c>
      <c r="H462" s="5">
        <v>1</v>
      </c>
      <c r="I462" s="5"/>
    </row>
    <row r="463" spans="1:9" x14ac:dyDescent="0.3">
      <c r="A463" s="4" t="s">
        <v>356</v>
      </c>
      <c r="B463" s="5">
        <v>64</v>
      </c>
      <c r="C463" s="5">
        <v>1430</v>
      </c>
      <c r="D463" s="6">
        <f t="shared" si="34"/>
        <v>22.34375</v>
      </c>
      <c r="E463" s="5">
        <v>3</v>
      </c>
      <c r="F463" s="5">
        <v>111</v>
      </c>
      <c r="G463" s="6">
        <f t="shared" si="35"/>
        <v>37</v>
      </c>
      <c r="H463" s="5">
        <v>27</v>
      </c>
      <c r="I463" s="5"/>
    </row>
    <row r="464" spans="1:9" x14ac:dyDescent="0.3">
      <c r="A464" s="4" t="s">
        <v>357</v>
      </c>
      <c r="B464" s="5">
        <v>44</v>
      </c>
      <c r="C464" s="5">
        <v>1093</v>
      </c>
      <c r="D464" s="6">
        <f t="shared" si="34"/>
        <v>24.84090909090909</v>
      </c>
      <c r="E464" s="5">
        <v>3</v>
      </c>
      <c r="F464" s="5">
        <v>30</v>
      </c>
      <c r="G464" s="6">
        <f t="shared" si="35"/>
        <v>10</v>
      </c>
      <c r="H464" s="5">
        <v>59</v>
      </c>
      <c r="I464" s="5"/>
    </row>
    <row r="465" spans="1:9" x14ac:dyDescent="0.3">
      <c r="A465" s="4" t="s">
        <v>358</v>
      </c>
      <c r="B465" s="5">
        <v>5</v>
      </c>
      <c r="C465" s="5">
        <v>127</v>
      </c>
      <c r="D465" s="6">
        <f t="shared" si="34"/>
        <v>25.4</v>
      </c>
      <c r="E465" s="5">
        <v>9</v>
      </c>
      <c r="F465" s="5">
        <v>112</v>
      </c>
      <c r="G465" s="6">
        <f t="shared" si="35"/>
        <v>12.444444444444445</v>
      </c>
      <c r="H465" s="5">
        <v>3</v>
      </c>
      <c r="I465" s="5"/>
    </row>
    <row r="466" spans="1:9" x14ac:dyDescent="0.3">
      <c r="A466" s="4" t="s">
        <v>359</v>
      </c>
      <c r="B466" s="5">
        <v>31</v>
      </c>
      <c r="C466" s="5">
        <v>390</v>
      </c>
      <c r="D466" s="6">
        <f t="shared" si="34"/>
        <v>12.580645161290322</v>
      </c>
      <c r="E466" s="5">
        <v>136</v>
      </c>
      <c r="F466" s="5">
        <v>1239</v>
      </c>
      <c r="G466" s="6">
        <f t="shared" si="35"/>
        <v>9.110294117647058</v>
      </c>
      <c r="H466" s="5">
        <v>12</v>
      </c>
      <c r="I466" s="5"/>
    </row>
    <row r="467" spans="1:9" x14ac:dyDescent="0.3">
      <c r="A467" s="4" t="s">
        <v>360</v>
      </c>
      <c r="B467" s="5">
        <v>18</v>
      </c>
      <c r="C467" s="5">
        <v>591</v>
      </c>
      <c r="D467" s="6">
        <f t="shared" si="34"/>
        <v>32.833333333333336</v>
      </c>
      <c r="E467" s="5">
        <v>1</v>
      </c>
      <c r="F467" s="5">
        <v>31</v>
      </c>
      <c r="G467" s="6">
        <f t="shared" si="35"/>
        <v>31</v>
      </c>
      <c r="H467" s="5">
        <v>29</v>
      </c>
      <c r="I467" s="5"/>
    </row>
    <row r="468" spans="1:9" x14ac:dyDescent="0.3">
      <c r="A468" s="4" t="s">
        <v>361</v>
      </c>
      <c r="B468" s="5">
        <v>4</v>
      </c>
      <c r="C468" s="5">
        <v>31</v>
      </c>
      <c r="D468" s="6">
        <f t="shared" si="34"/>
        <v>7.75</v>
      </c>
      <c r="E468" s="5"/>
      <c r="F468" s="5"/>
      <c r="G468" s="6">
        <f t="shared" si="35"/>
        <v>0</v>
      </c>
      <c r="H468" s="5"/>
      <c r="I468" s="5"/>
    </row>
    <row r="469" spans="1:9" x14ac:dyDescent="0.3">
      <c r="A469" s="4" t="s">
        <v>362</v>
      </c>
      <c r="B469" s="5">
        <v>1</v>
      </c>
      <c r="C469" s="5">
        <v>4</v>
      </c>
      <c r="D469" s="6">
        <f t="shared" si="34"/>
        <v>4</v>
      </c>
      <c r="E469" s="5">
        <v>3</v>
      </c>
      <c r="F469" s="5">
        <v>40</v>
      </c>
      <c r="G469" s="6">
        <f t="shared" si="35"/>
        <v>13.333333333333334</v>
      </c>
      <c r="H469" s="5">
        <v>2</v>
      </c>
      <c r="I469" s="5"/>
    </row>
    <row r="470" spans="1:9" s="9" customFormat="1" x14ac:dyDescent="0.3">
      <c r="A470" s="4" t="s">
        <v>363</v>
      </c>
      <c r="B470" s="5">
        <v>11</v>
      </c>
      <c r="C470" s="5">
        <v>58</v>
      </c>
      <c r="D470" s="6">
        <f t="shared" si="34"/>
        <v>5.2727272727272725</v>
      </c>
      <c r="E470" s="5">
        <v>16</v>
      </c>
      <c r="F470" s="5">
        <v>268</v>
      </c>
      <c r="G470" s="6">
        <f t="shared" si="35"/>
        <v>16.75</v>
      </c>
      <c r="H470" s="5">
        <v>1</v>
      </c>
      <c r="I470" s="5"/>
    </row>
    <row r="471" spans="1:9" x14ac:dyDescent="0.3">
      <c r="A471" s="7" t="s">
        <v>455</v>
      </c>
      <c r="B471" s="7">
        <f>6+8+4+8+6+1</f>
        <v>33</v>
      </c>
      <c r="C471" s="7">
        <f>43+115+146+94+18+0</f>
        <v>416</v>
      </c>
      <c r="D471" s="8">
        <f t="shared" si="34"/>
        <v>12.606060606060606</v>
      </c>
      <c r="E471" s="7">
        <f>3+11+0+8+10+11+0</f>
        <v>43</v>
      </c>
      <c r="F471" s="7">
        <f>74+115+29+102+261+234+35</f>
        <v>850</v>
      </c>
      <c r="G471" s="8">
        <f t="shared" si="35"/>
        <v>19.767441860465116</v>
      </c>
      <c r="H471" s="7">
        <f>1+5+3+4+7+1+1</f>
        <v>22</v>
      </c>
      <c r="I471" s="7"/>
    </row>
    <row r="472" spans="1:9" x14ac:dyDescent="0.3">
      <c r="A472" s="4" t="s">
        <v>364</v>
      </c>
      <c r="B472" s="5">
        <v>17</v>
      </c>
      <c r="C472" s="5">
        <v>345</v>
      </c>
      <c r="D472" s="6">
        <f t="shared" si="34"/>
        <v>20.294117647058822</v>
      </c>
      <c r="E472" s="5">
        <v>1</v>
      </c>
      <c r="F472" s="5">
        <v>6</v>
      </c>
      <c r="G472" s="6">
        <f t="shared" si="35"/>
        <v>6</v>
      </c>
      <c r="H472" s="5">
        <v>5</v>
      </c>
      <c r="I472" s="5"/>
    </row>
    <row r="473" spans="1:9" s="12" customFormat="1" x14ac:dyDescent="0.3">
      <c r="A473" s="4" t="s">
        <v>365</v>
      </c>
      <c r="B473" s="4">
        <f>5</f>
        <v>5</v>
      </c>
      <c r="C473" s="4">
        <f>91</f>
        <v>91</v>
      </c>
      <c r="D473" s="6">
        <f t="shared" si="34"/>
        <v>18.2</v>
      </c>
      <c r="E473" s="4">
        <f>3</f>
        <v>3</v>
      </c>
      <c r="F473" s="4">
        <f>143</f>
        <v>143</v>
      </c>
      <c r="G473" s="6">
        <f t="shared" si="35"/>
        <v>47.666666666666664</v>
      </c>
      <c r="H473" s="4">
        <f>1</f>
        <v>1</v>
      </c>
      <c r="I473" s="15"/>
    </row>
    <row r="474" spans="1:9" x14ac:dyDescent="0.3">
      <c r="A474" s="4" t="s">
        <v>459</v>
      </c>
      <c r="B474" s="4">
        <v>2</v>
      </c>
      <c r="C474" s="4">
        <f>2</f>
        <v>2</v>
      </c>
      <c r="D474" s="11">
        <f t="shared" si="34"/>
        <v>1</v>
      </c>
      <c r="E474" s="4">
        <f>9+2</f>
        <v>11</v>
      </c>
      <c r="F474" s="4">
        <f>242+50</f>
        <v>292</v>
      </c>
      <c r="G474" s="11">
        <f t="shared" si="35"/>
        <v>26.545454545454547</v>
      </c>
      <c r="H474" s="4">
        <f>1+1+1</f>
        <v>3</v>
      </c>
      <c r="I474" s="4"/>
    </row>
    <row r="475" spans="1:9" x14ac:dyDescent="0.3">
      <c r="A475" s="4" t="s">
        <v>366</v>
      </c>
      <c r="B475" s="5">
        <v>12</v>
      </c>
      <c r="C475" s="5">
        <v>120</v>
      </c>
      <c r="D475" s="6">
        <f t="shared" si="34"/>
        <v>10</v>
      </c>
      <c r="E475" s="5"/>
      <c r="F475" s="5"/>
      <c r="G475" s="6">
        <f t="shared" si="35"/>
        <v>0</v>
      </c>
      <c r="H475" s="5">
        <v>9</v>
      </c>
      <c r="I475" s="5"/>
    </row>
    <row r="476" spans="1:9" x14ac:dyDescent="0.3">
      <c r="A476" s="4" t="s">
        <v>367</v>
      </c>
      <c r="B476" s="20">
        <f>2+1+1+1+1</f>
        <v>6</v>
      </c>
      <c r="C476" s="19">
        <f>14+10</f>
        <v>24</v>
      </c>
      <c r="D476" s="6">
        <f t="shared" si="34"/>
        <v>4</v>
      </c>
      <c r="E476" s="5">
        <f>10+4+3</f>
        <v>17</v>
      </c>
      <c r="F476" s="5">
        <f>26+130+29+55</f>
        <v>240</v>
      </c>
      <c r="G476" s="6">
        <f t="shared" si="35"/>
        <v>14.117647058823529</v>
      </c>
      <c r="H476" s="5">
        <f>1+3+1</f>
        <v>5</v>
      </c>
      <c r="I476" s="5"/>
    </row>
    <row r="477" spans="1:9" x14ac:dyDescent="0.3">
      <c r="A477" s="4" t="s">
        <v>368</v>
      </c>
      <c r="B477" s="5">
        <v>7</v>
      </c>
      <c r="C477" s="5">
        <v>73</v>
      </c>
      <c r="D477" s="6">
        <f t="shared" si="34"/>
        <v>10.428571428571429</v>
      </c>
      <c r="E477" s="5">
        <v>6</v>
      </c>
      <c r="F477" s="5">
        <f>96+100</f>
        <v>196</v>
      </c>
      <c r="G477" s="6">
        <f t="shared" si="35"/>
        <v>32.666666666666664</v>
      </c>
      <c r="H477" s="5">
        <v>3</v>
      </c>
      <c r="I477" s="5"/>
    </row>
    <row r="478" spans="1:9" s="12" customFormat="1" x14ac:dyDescent="0.3">
      <c r="A478" s="4" t="s">
        <v>369</v>
      </c>
      <c r="B478" s="5">
        <v>19</v>
      </c>
      <c r="C478" s="5">
        <v>289</v>
      </c>
      <c r="D478" s="6">
        <f t="shared" si="34"/>
        <v>15.210526315789474</v>
      </c>
      <c r="E478" s="5">
        <v>2</v>
      </c>
      <c r="F478" s="5">
        <v>56</v>
      </c>
      <c r="G478" s="6">
        <f t="shared" si="35"/>
        <v>28</v>
      </c>
      <c r="H478" s="5">
        <v>5</v>
      </c>
      <c r="I478" s="5"/>
    </row>
    <row r="479" spans="1:9" x14ac:dyDescent="0.3">
      <c r="A479" s="4" t="s">
        <v>370</v>
      </c>
      <c r="B479" s="4">
        <f>26+3+9</f>
        <v>38</v>
      </c>
      <c r="C479" s="4">
        <f>1069+89+173</f>
        <v>1331</v>
      </c>
      <c r="D479" s="11">
        <f t="shared" si="34"/>
        <v>35.026315789473685</v>
      </c>
      <c r="E479" s="4">
        <f>20+0</f>
        <v>20</v>
      </c>
      <c r="F479" s="4">
        <f>204+14</f>
        <v>218</v>
      </c>
      <c r="G479" s="11">
        <f t="shared" si="35"/>
        <v>10.9</v>
      </c>
      <c r="H479" s="4">
        <v>28</v>
      </c>
      <c r="I479" s="4"/>
    </row>
    <row r="480" spans="1:9" x14ac:dyDescent="0.3">
      <c r="A480" s="4" t="s">
        <v>371</v>
      </c>
      <c r="B480" s="5">
        <v>13</v>
      </c>
      <c r="C480" s="5">
        <v>126</v>
      </c>
      <c r="D480" s="6">
        <f t="shared" si="34"/>
        <v>9.6923076923076916</v>
      </c>
      <c r="E480" s="5"/>
      <c r="F480" s="5"/>
      <c r="G480" s="6">
        <f t="shared" si="35"/>
        <v>0</v>
      </c>
      <c r="H480" s="5">
        <v>9</v>
      </c>
      <c r="I480" s="5"/>
    </row>
    <row r="481" spans="1:9" x14ac:dyDescent="0.3">
      <c r="A481" s="4" t="s">
        <v>372</v>
      </c>
      <c r="B481" s="5">
        <v>7</v>
      </c>
      <c r="C481" s="5">
        <v>42</v>
      </c>
      <c r="D481" s="6">
        <f t="shared" ref="D481:D513" si="36">IF(B481=0,0,C481/B481)</f>
        <v>6</v>
      </c>
      <c r="E481" s="5">
        <v>17</v>
      </c>
      <c r="F481" s="5">
        <v>430</v>
      </c>
      <c r="G481" s="6">
        <f t="shared" ref="G481:G513" si="37">IF(E481=0,0,F481/E481)</f>
        <v>25.294117647058822</v>
      </c>
      <c r="H481" s="5">
        <v>5</v>
      </c>
      <c r="I481" s="5"/>
    </row>
    <row r="482" spans="1:9" x14ac:dyDescent="0.3">
      <c r="A482" s="4" t="s">
        <v>373</v>
      </c>
      <c r="B482" s="4">
        <f>0</f>
        <v>0</v>
      </c>
      <c r="C482" s="4">
        <f>2</f>
        <v>2</v>
      </c>
      <c r="D482" s="6">
        <f t="shared" si="36"/>
        <v>0</v>
      </c>
      <c r="E482" s="4">
        <f>0</f>
        <v>0</v>
      </c>
      <c r="F482" s="4">
        <f>0</f>
        <v>0</v>
      </c>
      <c r="G482" s="6">
        <f t="shared" si="37"/>
        <v>0</v>
      </c>
      <c r="H482" s="4">
        <f>0</f>
        <v>0</v>
      </c>
      <c r="I482" s="4"/>
    </row>
    <row r="483" spans="1:9" x14ac:dyDescent="0.3">
      <c r="A483" s="4" t="s">
        <v>374</v>
      </c>
      <c r="B483" s="5">
        <v>36</v>
      </c>
      <c r="C483" s="5">
        <v>795</v>
      </c>
      <c r="D483" s="6">
        <f t="shared" si="36"/>
        <v>22.083333333333332</v>
      </c>
      <c r="E483" s="5">
        <v>27</v>
      </c>
      <c r="F483" s="5">
        <v>727</v>
      </c>
      <c r="G483" s="6">
        <f t="shared" si="37"/>
        <v>26.925925925925927</v>
      </c>
      <c r="H483" s="5">
        <v>12</v>
      </c>
      <c r="I483" s="5"/>
    </row>
    <row r="484" spans="1:9" x14ac:dyDescent="0.3">
      <c r="A484" s="4" t="s">
        <v>375</v>
      </c>
      <c r="B484" s="5">
        <v>10</v>
      </c>
      <c r="C484" s="5">
        <v>71</v>
      </c>
      <c r="D484" s="6">
        <f t="shared" si="36"/>
        <v>7.1</v>
      </c>
      <c r="E484" s="5">
        <v>5</v>
      </c>
      <c r="F484" s="5">
        <v>89</v>
      </c>
      <c r="G484" s="6">
        <f t="shared" si="37"/>
        <v>17.8</v>
      </c>
      <c r="H484" s="5">
        <v>3</v>
      </c>
      <c r="I484" s="5"/>
    </row>
    <row r="485" spans="1:9" x14ac:dyDescent="0.3">
      <c r="A485" s="4" t="s">
        <v>376</v>
      </c>
      <c r="B485" s="5">
        <v>35</v>
      </c>
      <c r="C485" s="5">
        <v>818</v>
      </c>
      <c r="D485" s="6">
        <f t="shared" si="36"/>
        <v>23.37142857142857</v>
      </c>
      <c r="E485" s="5">
        <v>44</v>
      </c>
      <c r="F485" s="5">
        <v>894</v>
      </c>
      <c r="G485" s="6">
        <f t="shared" si="37"/>
        <v>20.318181818181817</v>
      </c>
      <c r="H485" s="5">
        <v>20</v>
      </c>
      <c r="I485" s="5"/>
    </row>
    <row r="486" spans="1:9" x14ac:dyDescent="0.3">
      <c r="A486" s="4" t="s">
        <v>377</v>
      </c>
      <c r="B486" s="4">
        <f>4</f>
        <v>4</v>
      </c>
      <c r="C486" s="4">
        <f>26</f>
        <v>26</v>
      </c>
      <c r="D486" s="6">
        <f t="shared" si="36"/>
        <v>6.5</v>
      </c>
      <c r="E486" s="4">
        <f>0</f>
        <v>0</v>
      </c>
      <c r="F486" s="4">
        <f>0</f>
        <v>0</v>
      </c>
      <c r="G486" s="6">
        <f t="shared" si="37"/>
        <v>0</v>
      </c>
      <c r="H486" s="4">
        <f>1</f>
        <v>1</v>
      </c>
      <c r="I486" s="4"/>
    </row>
    <row r="487" spans="1:9" x14ac:dyDescent="0.3">
      <c r="A487" s="4" t="s">
        <v>378</v>
      </c>
      <c r="B487" s="5">
        <v>8</v>
      </c>
      <c r="C487" s="5">
        <v>294</v>
      </c>
      <c r="D487" s="6">
        <f t="shared" si="36"/>
        <v>36.75</v>
      </c>
      <c r="E487" s="5">
        <v>7</v>
      </c>
      <c r="F487" s="5">
        <v>103</v>
      </c>
      <c r="G487" s="6">
        <f t="shared" si="37"/>
        <v>14.714285714285714</v>
      </c>
      <c r="H487" s="5"/>
      <c r="I487" s="5"/>
    </row>
    <row r="488" spans="1:9" x14ac:dyDescent="0.3">
      <c r="A488" s="4" t="s">
        <v>379</v>
      </c>
      <c r="B488" s="5">
        <v>10</v>
      </c>
      <c r="C488" s="5">
        <v>162</v>
      </c>
      <c r="D488" s="6">
        <f t="shared" si="36"/>
        <v>16.2</v>
      </c>
      <c r="E488" s="5">
        <v>27</v>
      </c>
      <c r="F488" s="5">
        <v>309</v>
      </c>
      <c r="G488" s="6">
        <f t="shared" si="37"/>
        <v>11.444444444444445</v>
      </c>
      <c r="H488" s="5">
        <v>5</v>
      </c>
      <c r="I488" s="5"/>
    </row>
    <row r="489" spans="1:9" x14ac:dyDescent="0.3">
      <c r="A489" s="4" t="s">
        <v>380</v>
      </c>
      <c r="B489" s="5">
        <v>26</v>
      </c>
      <c r="C489" s="5">
        <v>636</v>
      </c>
      <c r="D489" s="6">
        <f t="shared" si="36"/>
        <v>24.46153846153846</v>
      </c>
      <c r="E489" s="5"/>
      <c r="F489" s="5"/>
      <c r="G489" s="6">
        <f t="shared" si="37"/>
        <v>0</v>
      </c>
      <c r="H489" s="5">
        <v>15</v>
      </c>
      <c r="I489" s="5"/>
    </row>
    <row r="490" spans="1:9" x14ac:dyDescent="0.3">
      <c r="A490" s="4" t="s">
        <v>381</v>
      </c>
      <c r="B490" s="5">
        <v>3</v>
      </c>
      <c r="C490" s="5">
        <v>19</v>
      </c>
      <c r="D490" s="6">
        <f t="shared" si="36"/>
        <v>6.333333333333333</v>
      </c>
      <c r="E490" s="5"/>
      <c r="F490" s="5"/>
      <c r="G490" s="6">
        <f t="shared" si="37"/>
        <v>0</v>
      </c>
      <c r="H490" s="5"/>
      <c r="I490" s="5"/>
    </row>
    <row r="491" spans="1:9" s="9" customFormat="1" x14ac:dyDescent="0.3">
      <c r="A491" s="4" t="s">
        <v>382</v>
      </c>
      <c r="B491" s="5">
        <v>3</v>
      </c>
      <c r="C491" s="5">
        <v>30</v>
      </c>
      <c r="D491" s="6">
        <f t="shared" si="36"/>
        <v>10</v>
      </c>
      <c r="E491" s="5">
        <v>6</v>
      </c>
      <c r="F491" s="5">
        <v>105</v>
      </c>
      <c r="G491" s="6">
        <f t="shared" si="37"/>
        <v>17.5</v>
      </c>
      <c r="H491" s="5"/>
      <c r="I491" s="5"/>
    </row>
    <row r="492" spans="1:9" s="12" customFormat="1" x14ac:dyDescent="0.3">
      <c r="A492" s="4" t="s">
        <v>515</v>
      </c>
      <c r="B492" s="4">
        <f>16</f>
        <v>16</v>
      </c>
      <c r="C492" s="4">
        <f>232</f>
        <v>232</v>
      </c>
      <c r="D492" s="11">
        <f t="shared" si="36"/>
        <v>14.5</v>
      </c>
      <c r="E492" s="4">
        <f>0</f>
        <v>0</v>
      </c>
      <c r="F492" s="4">
        <f>67</f>
        <v>67</v>
      </c>
      <c r="G492" s="11">
        <f t="shared" si="37"/>
        <v>0</v>
      </c>
      <c r="H492" s="4">
        <f>8</f>
        <v>8</v>
      </c>
      <c r="I492" s="4"/>
    </row>
    <row r="493" spans="1:9" s="12" customFormat="1" x14ac:dyDescent="0.3">
      <c r="A493" s="4" t="s">
        <v>383</v>
      </c>
      <c r="B493" s="5">
        <f>7+3</f>
        <v>10</v>
      </c>
      <c r="C493" s="5">
        <f>146+20</f>
        <v>166</v>
      </c>
      <c r="D493" s="6">
        <f t="shared" si="36"/>
        <v>16.600000000000001</v>
      </c>
      <c r="E493" s="5">
        <v>0</v>
      </c>
      <c r="F493" s="5">
        <v>2</v>
      </c>
      <c r="G493" s="6">
        <f t="shared" si="37"/>
        <v>0</v>
      </c>
      <c r="H493" s="5">
        <v>1</v>
      </c>
      <c r="I493" s="5"/>
    </row>
    <row r="494" spans="1:9" x14ac:dyDescent="0.3">
      <c r="A494" s="4" t="s">
        <v>482</v>
      </c>
      <c r="B494" s="4">
        <f>0</f>
        <v>0</v>
      </c>
      <c r="C494" s="4">
        <f>22</f>
        <v>22</v>
      </c>
      <c r="D494" s="11">
        <f t="shared" si="36"/>
        <v>0</v>
      </c>
      <c r="E494" s="4">
        <f>6</f>
        <v>6</v>
      </c>
      <c r="F494" s="4">
        <f>59</f>
        <v>59</v>
      </c>
      <c r="G494" s="11">
        <f t="shared" si="37"/>
        <v>9.8333333333333339</v>
      </c>
      <c r="H494" s="4"/>
      <c r="I494" s="4"/>
    </row>
    <row r="495" spans="1:9" x14ac:dyDescent="0.3">
      <c r="A495" s="4" t="s">
        <v>384</v>
      </c>
      <c r="B495" s="5">
        <v>13</v>
      </c>
      <c r="C495" s="5">
        <v>142</v>
      </c>
      <c r="D495" s="6">
        <f t="shared" si="36"/>
        <v>10.923076923076923</v>
      </c>
      <c r="E495" s="5"/>
      <c r="F495" s="5"/>
      <c r="G495" s="6">
        <f t="shared" si="37"/>
        <v>0</v>
      </c>
      <c r="H495" s="5">
        <v>4</v>
      </c>
      <c r="I495" s="5"/>
    </row>
    <row r="496" spans="1:9" s="12" customFormat="1" x14ac:dyDescent="0.3">
      <c r="A496" s="4" t="s">
        <v>385</v>
      </c>
      <c r="B496" s="5"/>
      <c r="C496" s="5"/>
      <c r="D496" s="6">
        <f t="shared" si="36"/>
        <v>0</v>
      </c>
      <c r="E496" s="5">
        <v>1</v>
      </c>
      <c r="F496" s="5">
        <v>0</v>
      </c>
      <c r="G496" s="6">
        <f t="shared" si="37"/>
        <v>0</v>
      </c>
      <c r="H496" s="5">
        <v>25</v>
      </c>
      <c r="I496" s="5"/>
    </row>
    <row r="497" spans="1:9" s="9" customFormat="1" x14ac:dyDescent="0.3">
      <c r="A497" s="4" t="s">
        <v>386</v>
      </c>
      <c r="B497" s="4">
        <f>1+1+2+5</f>
        <v>9</v>
      </c>
      <c r="C497" s="4">
        <f>3+41+55+127</f>
        <v>226</v>
      </c>
      <c r="D497" s="11">
        <f t="shared" si="36"/>
        <v>25.111111111111111</v>
      </c>
      <c r="E497" s="4">
        <f>0</f>
        <v>0</v>
      </c>
      <c r="F497" s="4">
        <f>5</f>
        <v>5</v>
      </c>
      <c r="G497" s="11">
        <f t="shared" si="37"/>
        <v>0</v>
      </c>
      <c r="H497" s="4">
        <f>3+2+3</f>
        <v>8</v>
      </c>
      <c r="I497" s="4">
        <f>1+1</f>
        <v>2</v>
      </c>
    </row>
    <row r="498" spans="1:9" x14ac:dyDescent="0.3">
      <c r="A498" s="7" t="s">
        <v>496</v>
      </c>
      <c r="B498" s="7">
        <f>1+9+10</f>
        <v>20</v>
      </c>
      <c r="C498" s="7">
        <f>0+183+80</f>
        <v>263</v>
      </c>
      <c r="D498" s="8">
        <f t="shared" si="36"/>
        <v>13.15</v>
      </c>
      <c r="E498" s="7">
        <f>0+27+20</f>
        <v>47</v>
      </c>
      <c r="F498" s="7">
        <f>21+524+375</f>
        <v>920</v>
      </c>
      <c r="G498" s="8">
        <f t="shared" si="37"/>
        <v>19.574468085106382</v>
      </c>
      <c r="H498" s="7">
        <f>2+4</f>
        <v>6</v>
      </c>
      <c r="I498" s="7"/>
    </row>
    <row r="499" spans="1:9" x14ac:dyDescent="0.3">
      <c r="A499" s="4" t="s">
        <v>387</v>
      </c>
      <c r="B499" s="5">
        <v>61</v>
      </c>
      <c r="C499" s="5">
        <v>1081</v>
      </c>
      <c r="D499" s="6">
        <f t="shared" si="36"/>
        <v>17.721311475409838</v>
      </c>
      <c r="E499" s="5">
        <v>164</v>
      </c>
      <c r="F499" s="5">
        <v>2820</v>
      </c>
      <c r="G499" s="6">
        <f t="shared" si="37"/>
        <v>17.195121951219512</v>
      </c>
      <c r="H499" s="5">
        <v>34</v>
      </c>
      <c r="I499" s="5"/>
    </row>
    <row r="500" spans="1:9" x14ac:dyDescent="0.3">
      <c r="A500" s="4" t="s">
        <v>388</v>
      </c>
      <c r="B500" s="5">
        <v>42</v>
      </c>
      <c r="C500" s="5">
        <v>888</v>
      </c>
      <c r="D500" s="6">
        <f t="shared" si="36"/>
        <v>21.142857142857142</v>
      </c>
      <c r="E500" s="5">
        <v>80</v>
      </c>
      <c r="F500" s="5">
        <v>1224</v>
      </c>
      <c r="G500" s="6">
        <f t="shared" si="37"/>
        <v>15.3</v>
      </c>
      <c r="H500" s="5">
        <v>29</v>
      </c>
      <c r="I500" s="5"/>
    </row>
    <row r="501" spans="1:9" x14ac:dyDescent="0.3">
      <c r="A501" s="4" t="s">
        <v>389</v>
      </c>
      <c r="B501" s="5">
        <v>0</v>
      </c>
      <c r="C501" s="5">
        <v>10</v>
      </c>
      <c r="D501" s="6">
        <f t="shared" si="36"/>
        <v>0</v>
      </c>
      <c r="E501" s="5">
        <v>0</v>
      </c>
      <c r="F501" s="5">
        <v>0</v>
      </c>
      <c r="G501" s="6">
        <f t="shared" si="37"/>
        <v>0</v>
      </c>
      <c r="H501" s="5">
        <v>1</v>
      </c>
      <c r="I501" s="5"/>
    </row>
    <row r="502" spans="1:9" x14ac:dyDescent="0.3">
      <c r="A502" s="4" t="s">
        <v>390</v>
      </c>
      <c r="B502" s="5">
        <v>4</v>
      </c>
      <c r="C502" s="5">
        <v>48</v>
      </c>
      <c r="D502" s="6">
        <f t="shared" si="36"/>
        <v>12</v>
      </c>
      <c r="E502" s="5">
        <v>1</v>
      </c>
      <c r="F502" s="5">
        <v>47</v>
      </c>
      <c r="G502" s="6">
        <f t="shared" si="37"/>
        <v>47</v>
      </c>
      <c r="H502" s="5">
        <v>2</v>
      </c>
      <c r="I502" s="5"/>
    </row>
    <row r="503" spans="1:9" x14ac:dyDescent="0.3">
      <c r="A503" s="4" t="s">
        <v>391</v>
      </c>
      <c r="B503" s="5">
        <v>8</v>
      </c>
      <c r="C503" s="5">
        <v>196</v>
      </c>
      <c r="D503" s="6">
        <f t="shared" si="36"/>
        <v>24.5</v>
      </c>
      <c r="E503" s="5">
        <v>22</v>
      </c>
      <c r="F503" s="5">
        <v>353</v>
      </c>
      <c r="G503" s="6">
        <f t="shared" si="37"/>
        <v>16.045454545454547</v>
      </c>
      <c r="H503" s="5">
        <v>3</v>
      </c>
      <c r="I503" s="5"/>
    </row>
    <row r="504" spans="1:9" x14ac:dyDescent="0.3">
      <c r="A504" s="4" t="s">
        <v>392</v>
      </c>
      <c r="B504" s="5">
        <f>23+15+6+1+15</f>
        <v>60</v>
      </c>
      <c r="C504" s="5">
        <f>518+319+157+557</f>
        <v>1551</v>
      </c>
      <c r="D504" s="6">
        <f t="shared" si="36"/>
        <v>25.85</v>
      </c>
      <c r="E504" s="5">
        <f>59+15+21</f>
        <v>95</v>
      </c>
      <c r="F504" s="5">
        <f>934+399+21+367</f>
        <v>1721</v>
      </c>
      <c r="G504" s="6">
        <f t="shared" si="37"/>
        <v>18.11578947368421</v>
      </c>
      <c r="H504" s="5">
        <f>16+3+5</f>
        <v>24</v>
      </c>
      <c r="I504" s="5"/>
    </row>
    <row r="505" spans="1:9" x14ac:dyDescent="0.3">
      <c r="A505" s="4" t="s">
        <v>393</v>
      </c>
      <c r="B505" s="4">
        <f>6+0</f>
        <v>6</v>
      </c>
      <c r="C505" s="4">
        <f>41+1</f>
        <v>42</v>
      </c>
      <c r="D505" s="6">
        <f t="shared" si="36"/>
        <v>7</v>
      </c>
      <c r="E505" s="4">
        <f>34+8</f>
        <v>42</v>
      </c>
      <c r="F505" s="4">
        <f>410+135</f>
        <v>545</v>
      </c>
      <c r="G505" s="6">
        <f t="shared" si="37"/>
        <v>12.976190476190476</v>
      </c>
      <c r="H505" s="4">
        <f>8</f>
        <v>8</v>
      </c>
      <c r="I505" s="4"/>
    </row>
    <row r="506" spans="1:9" x14ac:dyDescent="0.3">
      <c r="A506" s="4" t="s">
        <v>394</v>
      </c>
      <c r="B506" s="5">
        <v>6</v>
      </c>
      <c r="C506" s="5">
        <v>32</v>
      </c>
      <c r="D506" s="6">
        <f t="shared" si="36"/>
        <v>5.333333333333333</v>
      </c>
      <c r="E506" s="5">
        <v>33</v>
      </c>
      <c r="F506" s="5">
        <v>377</v>
      </c>
      <c r="G506" s="6">
        <f t="shared" si="37"/>
        <v>11.424242424242424</v>
      </c>
      <c r="H506" s="5"/>
      <c r="I506" s="5"/>
    </row>
    <row r="507" spans="1:9" x14ac:dyDescent="0.3">
      <c r="A507" s="4" t="s">
        <v>395</v>
      </c>
      <c r="B507" s="4">
        <f>1</f>
        <v>1</v>
      </c>
      <c r="C507" s="4">
        <f>8</f>
        <v>8</v>
      </c>
      <c r="D507" s="6">
        <f t="shared" si="36"/>
        <v>8</v>
      </c>
      <c r="E507" s="4">
        <v>0</v>
      </c>
      <c r="F507" s="4">
        <v>0</v>
      </c>
      <c r="G507" s="6">
        <f t="shared" si="37"/>
        <v>0</v>
      </c>
      <c r="H507" s="4">
        <f>2</f>
        <v>2</v>
      </c>
      <c r="I507" s="4"/>
    </row>
    <row r="508" spans="1:9" s="12" customFormat="1" x14ac:dyDescent="0.3">
      <c r="A508" s="4" t="s">
        <v>396</v>
      </c>
      <c r="B508" s="5">
        <f>2+10+9</f>
        <v>21</v>
      </c>
      <c r="C508" s="5">
        <f>9+105+146+6</f>
        <v>266</v>
      </c>
      <c r="D508" s="6">
        <f t="shared" si="36"/>
        <v>12.666666666666666</v>
      </c>
      <c r="E508" s="5">
        <f>2+6+9+1</f>
        <v>18</v>
      </c>
      <c r="F508" s="5">
        <f>21+188+159+9</f>
        <v>377</v>
      </c>
      <c r="G508" s="6">
        <f t="shared" si="37"/>
        <v>20.944444444444443</v>
      </c>
      <c r="H508" s="5">
        <f>1+7+5</f>
        <v>13</v>
      </c>
      <c r="I508" s="5"/>
    </row>
    <row r="509" spans="1:9" x14ac:dyDescent="0.3">
      <c r="A509" s="4" t="s">
        <v>397</v>
      </c>
      <c r="B509" s="4">
        <v>47</v>
      </c>
      <c r="C509" s="4">
        <v>408</v>
      </c>
      <c r="D509" s="11">
        <f t="shared" si="36"/>
        <v>8.6808510638297864</v>
      </c>
      <c r="E509" s="4">
        <v>5</v>
      </c>
      <c r="F509" s="4">
        <v>196</v>
      </c>
      <c r="G509" s="11">
        <f t="shared" si="37"/>
        <v>39.200000000000003</v>
      </c>
      <c r="H509" s="4">
        <v>37</v>
      </c>
      <c r="I509" s="4"/>
    </row>
    <row r="510" spans="1:9" x14ac:dyDescent="0.3">
      <c r="A510" s="4" t="s">
        <v>398</v>
      </c>
      <c r="B510" s="4">
        <f>0</f>
        <v>0</v>
      </c>
      <c r="C510" s="4">
        <f>0</f>
        <v>0</v>
      </c>
      <c r="D510" s="6">
        <f t="shared" si="36"/>
        <v>0</v>
      </c>
      <c r="E510" s="4">
        <f>0</f>
        <v>0</v>
      </c>
      <c r="F510" s="4">
        <f>0</f>
        <v>0</v>
      </c>
      <c r="G510" s="6">
        <f t="shared" si="37"/>
        <v>0</v>
      </c>
      <c r="H510" s="4">
        <f>1</f>
        <v>1</v>
      </c>
      <c r="I510" s="4"/>
    </row>
    <row r="511" spans="1:9" x14ac:dyDescent="0.3">
      <c r="A511" s="4" t="s">
        <v>399</v>
      </c>
      <c r="B511" s="5">
        <v>82</v>
      </c>
      <c r="C511" s="5">
        <v>1191</v>
      </c>
      <c r="D511" s="6">
        <f t="shared" si="36"/>
        <v>14.524390243902438</v>
      </c>
      <c r="E511" s="5">
        <v>1</v>
      </c>
      <c r="F511" s="5">
        <v>8</v>
      </c>
      <c r="G511" s="6">
        <f t="shared" si="37"/>
        <v>8</v>
      </c>
      <c r="H511" s="5">
        <v>70</v>
      </c>
      <c r="I511" s="5"/>
    </row>
    <row r="512" spans="1:9" x14ac:dyDescent="0.3">
      <c r="A512" s="4" t="s">
        <v>400</v>
      </c>
      <c r="B512" s="5"/>
      <c r="C512" s="5"/>
      <c r="D512" s="6">
        <f t="shared" si="36"/>
        <v>0</v>
      </c>
      <c r="E512" s="5">
        <v>9</v>
      </c>
      <c r="F512" s="5">
        <v>103</v>
      </c>
      <c r="G512" s="6">
        <f t="shared" si="37"/>
        <v>11.444444444444445</v>
      </c>
      <c r="H512" s="5"/>
      <c r="I512" s="5"/>
    </row>
    <row r="513" spans="1:9" s="9" customFormat="1" x14ac:dyDescent="0.3">
      <c r="A513" s="7" t="s">
        <v>519</v>
      </c>
      <c r="B513" s="7">
        <f>2</f>
        <v>2</v>
      </c>
      <c r="C513" s="7">
        <f>1</f>
        <v>1</v>
      </c>
      <c r="D513" s="8">
        <f t="shared" si="36"/>
        <v>0.5</v>
      </c>
      <c r="E513" s="7">
        <f>1</f>
        <v>1</v>
      </c>
      <c r="F513" s="7">
        <f>20</f>
        <v>20</v>
      </c>
      <c r="G513" s="8">
        <f t="shared" si="37"/>
        <v>20</v>
      </c>
      <c r="H513" s="7"/>
      <c r="I513" s="7"/>
    </row>
    <row r="514" spans="1:9" x14ac:dyDescent="0.3">
      <c r="A514" s="4" t="s">
        <v>401</v>
      </c>
      <c r="B514" s="5">
        <v>1</v>
      </c>
      <c r="C514" s="5">
        <v>5</v>
      </c>
      <c r="D514" s="6">
        <f t="shared" ref="D514:D522" si="38">IF(B514=0,0,C514/B514)</f>
        <v>5</v>
      </c>
      <c r="E514" s="5"/>
      <c r="F514" s="5"/>
      <c r="G514" s="6">
        <f t="shared" ref="G514:G521" si="39">IF(E514=0,0,F514/E514)</f>
        <v>0</v>
      </c>
      <c r="H514" s="5"/>
      <c r="I514" s="5"/>
    </row>
    <row r="515" spans="1:9" x14ac:dyDescent="0.3">
      <c r="A515" s="4" t="s">
        <v>402</v>
      </c>
      <c r="B515" s="5">
        <v>8</v>
      </c>
      <c r="C515" s="5">
        <v>192</v>
      </c>
      <c r="D515" s="6">
        <f t="shared" si="38"/>
        <v>24</v>
      </c>
      <c r="E515" s="5">
        <v>27</v>
      </c>
      <c r="F515" s="5">
        <v>242</v>
      </c>
      <c r="G515" s="6">
        <f t="shared" si="39"/>
        <v>8.9629629629629637</v>
      </c>
      <c r="H515" s="5">
        <v>7</v>
      </c>
      <c r="I515" s="5"/>
    </row>
    <row r="516" spans="1:9" s="12" customFormat="1" x14ac:dyDescent="0.3">
      <c r="A516" s="4" t="s">
        <v>403</v>
      </c>
      <c r="B516" s="5">
        <v>9</v>
      </c>
      <c r="C516" s="5">
        <v>368</v>
      </c>
      <c r="D516" s="6">
        <f t="shared" si="38"/>
        <v>40.888888888888886</v>
      </c>
      <c r="E516" s="5">
        <v>4</v>
      </c>
      <c r="F516" s="5">
        <v>61</v>
      </c>
      <c r="G516" s="6">
        <f t="shared" si="39"/>
        <v>15.25</v>
      </c>
      <c r="H516" s="5">
        <v>1</v>
      </c>
      <c r="I516" s="5"/>
    </row>
    <row r="517" spans="1:9" x14ac:dyDescent="0.3">
      <c r="A517" s="4" t="s">
        <v>404</v>
      </c>
      <c r="B517" s="4">
        <v>53</v>
      </c>
      <c r="C517" s="4">
        <f>540+33+34</f>
        <v>607</v>
      </c>
      <c r="D517" s="11">
        <f t="shared" si="38"/>
        <v>11.452830188679245</v>
      </c>
      <c r="E517" s="4">
        <f>142+16+10</f>
        <v>168</v>
      </c>
      <c r="F517" s="4">
        <f>2192+312+151</f>
        <v>2655</v>
      </c>
      <c r="G517" s="11">
        <f t="shared" si="39"/>
        <v>15.803571428571429</v>
      </c>
      <c r="H517" s="4">
        <v>25</v>
      </c>
      <c r="I517" s="4"/>
    </row>
    <row r="518" spans="1:9" s="12" customFormat="1" x14ac:dyDescent="0.3">
      <c r="A518" s="4" t="s">
        <v>405</v>
      </c>
      <c r="B518" s="5">
        <v>14</v>
      </c>
      <c r="C518" s="5">
        <v>193</v>
      </c>
      <c r="D518" s="6">
        <f t="shared" si="38"/>
        <v>13.785714285714286</v>
      </c>
      <c r="E518" s="5"/>
      <c r="F518" s="5"/>
      <c r="G518" s="6">
        <f t="shared" si="39"/>
        <v>0</v>
      </c>
      <c r="H518" s="5">
        <v>4</v>
      </c>
      <c r="I518" s="5"/>
    </row>
    <row r="519" spans="1:9" x14ac:dyDescent="0.3">
      <c r="A519" s="4" t="s">
        <v>406</v>
      </c>
      <c r="B519" s="4">
        <f>72+13+3+10</f>
        <v>98</v>
      </c>
      <c r="C519" s="4">
        <f>1097+81+266+243+163+170</f>
        <v>2020</v>
      </c>
      <c r="D519" s="11">
        <f t="shared" si="38"/>
        <v>20.612244897959183</v>
      </c>
      <c r="E519" s="4">
        <v>14</v>
      </c>
      <c r="F519" s="4">
        <f>379+63+27</f>
        <v>469</v>
      </c>
      <c r="G519" s="11">
        <f t="shared" si="39"/>
        <v>33.5</v>
      </c>
      <c r="H519" s="4">
        <f>13+1+1</f>
        <v>15</v>
      </c>
      <c r="I519" s="4"/>
    </row>
    <row r="520" spans="1:9" x14ac:dyDescent="0.3">
      <c r="A520" s="4" t="s">
        <v>407</v>
      </c>
      <c r="B520" s="4">
        <f>13</f>
        <v>13</v>
      </c>
      <c r="C520" s="4">
        <f>10+247</f>
        <v>257</v>
      </c>
      <c r="D520" s="6">
        <f t="shared" si="38"/>
        <v>19.76923076923077</v>
      </c>
      <c r="E520" s="4">
        <v>0</v>
      </c>
      <c r="F520" s="4">
        <v>0</v>
      </c>
      <c r="G520" s="6">
        <f t="shared" si="39"/>
        <v>0</v>
      </c>
      <c r="H520" s="4">
        <f>3</f>
        <v>3</v>
      </c>
      <c r="I520" s="4"/>
    </row>
    <row r="521" spans="1:9" s="9" customFormat="1" x14ac:dyDescent="0.3">
      <c r="A521" s="4" t="s">
        <v>408</v>
      </c>
      <c r="B521" s="4">
        <f>3+9+12</f>
        <v>24</v>
      </c>
      <c r="C521" s="4">
        <f>90+63+101</f>
        <v>254</v>
      </c>
      <c r="D521" s="6">
        <f t="shared" si="38"/>
        <v>10.583333333333334</v>
      </c>
      <c r="E521" s="4">
        <f>0+0</f>
        <v>0</v>
      </c>
      <c r="F521" s="4">
        <f>0+8+11</f>
        <v>19</v>
      </c>
      <c r="G521" s="6">
        <f t="shared" si="39"/>
        <v>0</v>
      </c>
      <c r="H521" s="4">
        <f>0+3+3</f>
        <v>6</v>
      </c>
      <c r="I521" s="4"/>
    </row>
    <row r="522" spans="1:9" x14ac:dyDescent="0.3">
      <c r="A522" s="7" t="s">
        <v>513</v>
      </c>
      <c r="B522" s="7">
        <f>1+2</f>
        <v>3</v>
      </c>
      <c r="C522" s="7">
        <f>0+4</f>
        <v>4</v>
      </c>
      <c r="D522" s="8">
        <f t="shared" si="38"/>
        <v>1.3333333333333333</v>
      </c>
      <c r="E522" s="7"/>
      <c r="F522" s="7"/>
      <c r="G522" s="8"/>
      <c r="H522" s="7"/>
      <c r="I522" s="7"/>
    </row>
    <row r="523" spans="1:9" x14ac:dyDescent="0.3">
      <c r="A523" s="4" t="s">
        <v>451</v>
      </c>
      <c r="B523" s="4">
        <v>2</v>
      </c>
      <c r="C523" s="4">
        <f>2</f>
        <v>2</v>
      </c>
      <c r="D523" s="6">
        <f>IF(B523=0,0,C523/B523)</f>
        <v>1</v>
      </c>
      <c r="E523" s="4">
        <f>9</f>
        <v>9</v>
      </c>
      <c r="F523" s="4">
        <f>220</f>
        <v>220</v>
      </c>
      <c r="G523" s="6">
        <f>IF(E523=0,0,F523/E523)</f>
        <v>24.444444444444443</v>
      </c>
      <c r="H523" s="4">
        <f>3</f>
        <v>3</v>
      </c>
      <c r="I523" s="4"/>
    </row>
    <row r="524" spans="1:9" x14ac:dyDescent="0.3">
      <c r="A524" s="18" t="s">
        <v>480</v>
      </c>
      <c r="B524" s="19">
        <v>6</v>
      </c>
      <c r="C524" s="19">
        <v>119</v>
      </c>
      <c r="D524" s="21">
        <f>IF(B524=0,0,C524/B524)</f>
        <v>19.833333333333332</v>
      </c>
      <c r="E524" s="19">
        <v>12</v>
      </c>
      <c r="F524" s="19">
        <v>129</v>
      </c>
      <c r="G524" s="21">
        <f>IF(E524=0,0,F524/E524)</f>
        <v>10.75</v>
      </c>
      <c r="H524" s="19">
        <v>6</v>
      </c>
      <c r="I524" s="19"/>
    </row>
    <row r="525" spans="1:9" x14ac:dyDescent="0.3">
      <c r="A525" s="17" t="s">
        <v>420</v>
      </c>
      <c r="B525" s="17"/>
      <c r="C525" s="17"/>
      <c r="D525" s="17"/>
      <c r="E525" s="17"/>
      <c r="F525" s="17"/>
      <c r="G525" s="17"/>
      <c r="H525" s="17"/>
      <c r="I525" s="17"/>
    </row>
  </sheetData>
  <sortState xmlns:xlrd2="http://schemas.microsoft.com/office/spreadsheetml/2017/richdata2" ref="A2:I525">
    <sortCondition ref="A2:A52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dmullett</dc:creator>
  <cp:lastModifiedBy>Bradley Cole</cp:lastModifiedBy>
  <dcterms:created xsi:type="dcterms:W3CDTF">2009-10-16T06:30:31Z</dcterms:created>
  <dcterms:modified xsi:type="dcterms:W3CDTF">2024-06-03T12:11:24Z</dcterms:modified>
</cp:coreProperties>
</file>