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76b30b9d5fd49d/Documents/Devonport Orions CC/Stats/"/>
    </mc:Choice>
  </mc:AlternateContent>
  <xr:revisionPtr revIDLastSave="990" documentId="13_ncr:1_{4DD1754C-28A1-41E8-B7EF-F2F91580435A}" xr6:coauthVersionLast="47" xr6:coauthVersionMax="47" xr10:uidLastSave="{D4E09CED-0F64-43B2-98A6-602314495358}"/>
  <bookViews>
    <workbookView xWindow="-108" yWindow="-108" windowWidth="23256" windowHeight="12456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2" l="1"/>
  <c r="J66" i="2"/>
  <c r="I66" i="2"/>
  <c r="H66" i="2"/>
  <c r="F66" i="2"/>
  <c r="E66" i="2"/>
  <c r="D66" i="2"/>
  <c r="C66" i="2"/>
  <c r="B66" i="2"/>
  <c r="L20" i="2"/>
  <c r="I20" i="2"/>
  <c r="H20" i="2"/>
  <c r="E20" i="2"/>
  <c r="D20" i="2"/>
  <c r="C20" i="2"/>
  <c r="B20" i="2"/>
  <c r="B65" i="2"/>
  <c r="B60" i="2"/>
  <c r="I54" i="2"/>
  <c r="H54" i="2"/>
  <c r="E54" i="2"/>
  <c r="D54" i="2"/>
  <c r="C54" i="2"/>
  <c r="B54" i="2"/>
  <c r="L61" i="2"/>
  <c r="I61" i="2"/>
  <c r="H61" i="2"/>
  <c r="E61" i="2"/>
  <c r="D61" i="2"/>
  <c r="C61" i="2"/>
  <c r="B61" i="2"/>
  <c r="L55" i="2"/>
  <c r="I55" i="2"/>
  <c r="H55" i="2"/>
  <c r="E55" i="2"/>
  <c r="D55" i="2"/>
  <c r="C55" i="2"/>
  <c r="B55" i="2"/>
  <c r="L58" i="2"/>
  <c r="I58" i="2"/>
  <c r="H58" i="2"/>
  <c r="E58" i="2"/>
  <c r="D58" i="2"/>
  <c r="C58" i="2"/>
  <c r="F58" i="2" s="1"/>
  <c r="B58" i="2"/>
  <c r="L40" i="2"/>
  <c r="I40" i="2"/>
  <c r="H40" i="2"/>
  <c r="E40" i="2"/>
  <c r="D40" i="2"/>
  <c r="C40" i="2"/>
  <c r="B40" i="2"/>
  <c r="L53" i="2"/>
  <c r="I53" i="2"/>
  <c r="H53" i="2"/>
  <c r="E53" i="2"/>
  <c r="D53" i="2"/>
  <c r="C53" i="2"/>
  <c r="B53" i="2"/>
  <c r="J64" i="2"/>
  <c r="L64" i="2"/>
  <c r="F64" i="2"/>
  <c r="I64" i="2"/>
  <c r="H64" i="2"/>
  <c r="E64" i="2"/>
  <c r="D64" i="2"/>
  <c r="C64" i="2"/>
  <c r="B64" i="2"/>
  <c r="I46" i="2"/>
  <c r="H46" i="2"/>
  <c r="E46" i="2"/>
  <c r="D46" i="2"/>
  <c r="C46" i="2"/>
  <c r="B46" i="2"/>
  <c r="M45" i="2"/>
  <c r="L45" i="2"/>
  <c r="I45" i="2"/>
  <c r="H45" i="2"/>
  <c r="E45" i="2"/>
  <c r="F45" i="2" s="1"/>
  <c r="D45" i="2"/>
  <c r="C45" i="2"/>
  <c r="B45" i="2"/>
  <c r="L42" i="2"/>
  <c r="I42" i="2"/>
  <c r="H42" i="2"/>
  <c r="E42" i="2"/>
  <c r="D42" i="2"/>
  <c r="C42" i="2"/>
  <c r="B42" i="2"/>
  <c r="L63" i="2"/>
  <c r="J63" i="2"/>
  <c r="I63" i="2"/>
  <c r="H63" i="2"/>
  <c r="F63" i="2"/>
  <c r="E63" i="2"/>
  <c r="D63" i="2"/>
  <c r="C63" i="2"/>
  <c r="B63" i="2"/>
  <c r="J62" i="2"/>
  <c r="L3" i="2"/>
  <c r="L48" i="2"/>
  <c r="L46" i="2"/>
  <c r="I62" i="2"/>
  <c r="H62" i="2"/>
  <c r="I43" i="2"/>
  <c r="H43" i="2"/>
  <c r="J61" i="2"/>
  <c r="J58" i="2"/>
  <c r="J45" i="2"/>
  <c r="J54" i="2"/>
  <c r="I48" i="2"/>
  <c r="J48" i="2" s="1"/>
  <c r="H48" i="2"/>
  <c r="J55" i="2"/>
  <c r="J42" i="2"/>
  <c r="F59" i="2"/>
  <c r="F60" i="2"/>
  <c r="F61" i="2"/>
  <c r="F62" i="2"/>
  <c r="E62" i="2"/>
  <c r="D62" i="2"/>
  <c r="C62" i="2"/>
  <c r="B43" i="2"/>
  <c r="E60" i="2"/>
  <c r="D60" i="2"/>
  <c r="C60" i="2"/>
  <c r="F54" i="2"/>
  <c r="E59" i="2"/>
  <c r="D59" i="2"/>
  <c r="C59" i="2"/>
  <c r="B59" i="2"/>
  <c r="F53" i="2"/>
  <c r="F46" i="2"/>
  <c r="E3" i="2"/>
  <c r="F3" i="2" s="1"/>
  <c r="D3" i="2"/>
  <c r="C3" i="2"/>
  <c r="B3" i="2"/>
  <c r="E41" i="2"/>
  <c r="D41" i="2"/>
  <c r="C41" i="2"/>
  <c r="B41" i="2"/>
  <c r="E48" i="2"/>
  <c r="D48" i="2"/>
  <c r="C48" i="2"/>
  <c r="B48" i="2"/>
  <c r="F20" i="2"/>
  <c r="F40" i="2"/>
  <c r="L41" i="2"/>
  <c r="B15" i="2"/>
  <c r="L52" i="2"/>
  <c r="M41" i="2"/>
  <c r="I52" i="2"/>
  <c r="H52" i="2"/>
  <c r="J46" i="2"/>
  <c r="J52" i="2"/>
  <c r="J53" i="2"/>
  <c r="I41" i="2"/>
  <c r="H41" i="2"/>
  <c r="E56" i="2"/>
  <c r="D56" i="2"/>
  <c r="C56" i="2"/>
  <c r="B56" i="2"/>
  <c r="E52" i="2"/>
  <c r="F52" i="2" s="1"/>
  <c r="D52" i="2"/>
  <c r="C52" i="2"/>
  <c r="B52" i="2"/>
  <c r="F55" i="2"/>
  <c r="F56" i="2"/>
  <c r="F57" i="2"/>
  <c r="E57" i="2"/>
  <c r="D57" i="2"/>
  <c r="C57" i="2"/>
  <c r="B57" i="2"/>
  <c r="E35" i="2"/>
  <c r="F35" i="2" s="1"/>
  <c r="D35" i="2"/>
  <c r="C35" i="2"/>
  <c r="B35" i="2"/>
  <c r="L21" i="2"/>
  <c r="L51" i="2"/>
  <c r="B30" i="2"/>
  <c r="B29" i="2"/>
  <c r="B23" i="2"/>
  <c r="L44" i="2"/>
  <c r="I51" i="2"/>
  <c r="H51" i="2"/>
  <c r="J51" i="2" s="1"/>
  <c r="I29" i="2"/>
  <c r="H29" i="2"/>
  <c r="J49" i="2"/>
  <c r="J50" i="2"/>
  <c r="I50" i="2"/>
  <c r="H50" i="2"/>
  <c r="I49" i="2"/>
  <c r="H49" i="2"/>
  <c r="J40" i="2"/>
  <c r="I44" i="2"/>
  <c r="H44" i="2"/>
  <c r="E44" i="2"/>
  <c r="F48" i="2"/>
  <c r="F49" i="2"/>
  <c r="F50" i="2"/>
  <c r="F51" i="2"/>
  <c r="F15" i="2"/>
  <c r="E15" i="2"/>
  <c r="D15" i="2"/>
  <c r="C15" i="2"/>
  <c r="E21" i="2"/>
  <c r="D21" i="2"/>
  <c r="C21" i="2"/>
  <c r="B21" i="2"/>
  <c r="F41" i="2"/>
  <c r="D43" i="2"/>
  <c r="E43" i="2"/>
  <c r="C43" i="2"/>
  <c r="E51" i="2"/>
  <c r="D51" i="2"/>
  <c r="C51" i="2"/>
  <c r="B51" i="2"/>
  <c r="E50" i="2"/>
  <c r="D50" i="2"/>
  <c r="C50" i="2"/>
  <c r="B50" i="2"/>
  <c r="E49" i="2"/>
  <c r="D49" i="2"/>
  <c r="C49" i="2"/>
  <c r="B49" i="2"/>
  <c r="D44" i="2"/>
  <c r="C44" i="2"/>
  <c r="B44" i="2"/>
  <c r="F42" i="2"/>
  <c r="L43" i="2"/>
  <c r="B27" i="2"/>
  <c r="L15" i="2"/>
  <c r="B22" i="2"/>
  <c r="I31" i="2"/>
  <c r="H31" i="2"/>
  <c r="B31" i="2"/>
  <c r="I15" i="2"/>
  <c r="J15" i="2" s="1"/>
  <c r="H15" i="2"/>
  <c r="J41" i="2"/>
  <c r="J3" i="2"/>
  <c r="J8" i="2"/>
  <c r="J22" i="2"/>
  <c r="J24" i="2"/>
  <c r="J25" i="2"/>
  <c r="J26" i="2"/>
  <c r="J29" i="2"/>
  <c r="J30" i="2"/>
  <c r="J31" i="2"/>
  <c r="J32" i="2"/>
  <c r="J33" i="2"/>
  <c r="J34" i="2"/>
  <c r="J35" i="2"/>
  <c r="J36" i="2"/>
  <c r="J37" i="2"/>
  <c r="J38" i="2"/>
  <c r="J43" i="2"/>
  <c r="J44" i="2"/>
  <c r="F47" i="2"/>
  <c r="E47" i="2"/>
  <c r="D47" i="2"/>
  <c r="C47" i="2"/>
  <c r="B47" i="2"/>
  <c r="F44" i="2"/>
  <c r="F43" i="2"/>
  <c r="E27" i="2"/>
  <c r="D27" i="2"/>
  <c r="C27" i="2"/>
  <c r="L36" i="2"/>
  <c r="L38" i="2"/>
  <c r="L7" i="2"/>
  <c r="H9" i="2"/>
  <c r="I8" i="2"/>
  <c r="H8" i="2"/>
  <c r="I7" i="2"/>
  <c r="H7" i="2"/>
  <c r="I38" i="2"/>
  <c r="H38" i="2"/>
  <c r="I4" i="2"/>
  <c r="H4" i="2"/>
  <c r="I37" i="2"/>
  <c r="H37" i="2"/>
  <c r="I9" i="2"/>
  <c r="I36" i="2"/>
  <c r="H36" i="2"/>
  <c r="F37" i="2"/>
  <c r="F38" i="2"/>
  <c r="F39" i="2"/>
  <c r="E12" i="2"/>
  <c r="C12" i="2"/>
  <c r="B12" i="2"/>
  <c r="E5" i="2"/>
  <c r="C5" i="2"/>
  <c r="B5" i="2"/>
  <c r="E14" i="2"/>
  <c r="C14" i="2"/>
  <c r="B14" i="2"/>
  <c r="E4" i="2"/>
  <c r="F4" i="2" s="1"/>
  <c r="D4" i="2"/>
  <c r="C4" i="2"/>
  <c r="B4" i="2"/>
  <c r="E9" i="2"/>
  <c r="D9" i="2"/>
  <c r="C9" i="2"/>
  <c r="B9" i="2"/>
  <c r="E39" i="2"/>
  <c r="D39" i="2"/>
  <c r="C39" i="2"/>
  <c r="B39" i="2"/>
  <c r="E38" i="2"/>
  <c r="D38" i="2"/>
  <c r="C38" i="2"/>
  <c r="B38" i="2"/>
  <c r="E37" i="2"/>
  <c r="D37" i="2"/>
  <c r="C37" i="2"/>
  <c r="B37" i="2"/>
  <c r="F36" i="2"/>
  <c r="E36" i="2"/>
  <c r="D36" i="2"/>
  <c r="C36" i="2"/>
  <c r="B36" i="2"/>
  <c r="E7" i="2"/>
  <c r="D7" i="2"/>
  <c r="C7" i="2"/>
  <c r="B7" i="2"/>
  <c r="E8" i="2"/>
  <c r="D8" i="2"/>
  <c r="C8" i="2"/>
  <c r="B8" i="2"/>
  <c r="L22" i="2"/>
  <c r="L24" i="2"/>
  <c r="L27" i="2"/>
  <c r="L31" i="2"/>
  <c r="I32" i="2"/>
  <c r="H32" i="2"/>
  <c r="I35" i="2"/>
  <c r="H35" i="2"/>
  <c r="I3" i="2"/>
  <c r="H3" i="2"/>
  <c r="I30" i="2"/>
  <c r="H30" i="2"/>
  <c r="I25" i="2"/>
  <c r="H25" i="2"/>
  <c r="I33" i="2"/>
  <c r="H33" i="2"/>
  <c r="I34" i="2"/>
  <c r="H34" i="2"/>
  <c r="I22" i="2"/>
  <c r="H22" i="2"/>
  <c r="I24" i="2"/>
  <c r="H24" i="2"/>
  <c r="I26" i="2"/>
  <c r="H26" i="2"/>
  <c r="J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E30" i="2"/>
  <c r="D30" i="2"/>
  <c r="C30" i="2"/>
  <c r="E29" i="2"/>
  <c r="D29" i="2"/>
  <c r="C29" i="2"/>
  <c r="E28" i="2"/>
  <c r="D28" i="2"/>
  <c r="C28" i="2"/>
  <c r="B28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E22" i="2"/>
  <c r="D22" i="2"/>
  <c r="C22" i="2"/>
  <c r="L14" i="2"/>
  <c r="L10" i="2"/>
  <c r="L9" i="2"/>
  <c r="J7" i="2"/>
  <c r="J9" i="2"/>
  <c r="J10" i="2"/>
  <c r="J11" i="2"/>
  <c r="J14" i="2"/>
  <c r="J18" i="2"/>
  <c r="J4" i="2"/>
  <c r="I14" i="2"/>
  <c r="I11" i="2"/>
  <c r="I18" i="2"/>
  <c r="I10" i="2"/>
  <c r="H14" i="2"/>
  <c r="H11" i="2"/>
  <c r="H18" i="2"/>
  <c r="H10" i="2"/>
  <c r="F5" i="2"/>
  <c r="F6" i="2"/>
  <c r="F7" i="2"/>
  <c r="F8" i="2"/>
  <c r="F9" i="2"/>
  <c r="F10" i="2"/>
  <c r="F11" i="2"/>
  <c r="F12" i="2"/>
  <c r="F13" i="2"/>
  <c r="F14" i="2"/>
  <c r="F16" i="2"/>
  <c r="F17" i="2"/>
  <c r="F18" i="2"/>
  <c r="F19" i="2"/>
</calcChain>
</file>

<file path=xl/sharedStrings.xml><?xml version="1.0" encoding="utf-8"?>
<sst xmlns="http://schemas.openxmlformats.org/spreadsheetml/2006/main" count="165" uniqueCount="109">
  <si>
    <t>Name</t>
  </si>
  <si>
    <t>Games</t>
  </si>
  <si>
    <t>Innings</t>
  </si>
  <si>
    <t>Runs</t>
  </si>
  <si>
    <t>NO's</t>
  </si>
  <si>
    <t>High</t>
  </si>
  <si>
    <t>Average</t>
  </si>
  <si>
    <t>NA</t>
  </si>
  <si>
    <t>0/3</t>
  </si>
  <si>
    <t>N/A</t>
  </si>
  <si>
    <t>4.3</t>
  </si>
  <si>
    <t>J Mercer</t>
  </si>
  <si>
    <t>0/6</t>
  </si>
  <si>
    <t>1</t>
  </si>
  <si>
    <t>N Broomhall</t>
  </si>
  <si>
    <t>1/28</t>
  </si>
  <si>
    <t>10</t>
  </si>
  <si>
    <t>L Barnard</t>
  </si>
  <si>
    <t>2/13</t>
  </si>
  <si>
    <t>4</t>
  </si>
  <si>
    <t>S Cotton</t>
  </si>
  <si>
    <t>3/23</t>
  </si>
  <si>
    <t>K Jarman</t>
  </si>
  <si>
    <t>2/19</t>
  </si>
  <si>
    <t>27.1</t>
  </si>
  <si>
    <t>E Holmes</t>
  </si>
  <si>
    <t>2/11</t>
  </si>
  <si>
    <t>20.3</t>
  </si>
  <si>
    <t>L Mitchell</t>
  </si>
  <si>
    <t>3/10</t>
  </si>
  <si>
    <t>29</t>
  </si>
  <si>
    <t>S Lawler</t>
  </si>
  <si>
    <t>Best</t>
  </si>
  <si>
    <t>Maidens</t>
  </si>
  <si>
    <t>Wickets</t>
  </si>
  <si>
    <t>Overs</t>
  </si>
  <si>
    <t>S Underwood</t>
  </si>
  <si>
    <t>D Heathcote</t>
  </si>
  <si>
    <t>M D'Monte</t>
  </si>
  <si>
    <t>N Green</t>
  </si>
  <si>
    <t>E Cross</t>
  </si>
  <si>
    <t>L Steven</t>
  </si>
  <si>
    <t>K Whelan</t>
  </si>
  <si>
    <t>C Underwood</t>
  </si>
  <si>
    <t>G Tenaglia</t>
  </si>
  <si>
    <t xml:space="preserve"> </t>
  </si>
  <si>
    <t>Catches</t>
  </si>
  <si>
    <t>BATTING</t>
  </si>
  <si>
    <t xml:space="preserve">DEVONPORT CRICKET CLUB WOMENS T20 STATISTICS 2012-13 </t>
  </si>
  <si>
    <t>BOWLING</t>
  </si>
  <si>
    <t>FIELDING</t>
  </si>
  <si>
    <t>WOMEN'S 1ST GRADE AVERAGES</t>
  </si>
  <si>
    <t>GAMES</t>
  </si>
  <si>
    <t>INNINGS</t>
  </si>
  <si>
    <t>RUNS</t>
  </si>
  <si>
    <t>AVERAGE</t>
  </si>
  <si>
    <t>WICKETS</t>
  </si>
  <si>
    <t>CATCHES</t>
  </si>
  <si>
    <t>STUMPINGS</t>
  </si>
  <si>
    <t>NO'S</t>
  </si>
  <si>
    <t>M Steven</t>
  </si>
  <si>
    <t>N Genge</t>
  </si>
  <si>
    <t>L Fogg</t>
  </si>
  <si>
    <t>D Kelly</t>
  </si>
  <si>
    <t>T Woolley</t>
  </si>
  <si>
    <t>C Reardon</t>
  </si>
  <si>
    <t>S Creighton</t>
  </si>
  <si>
    <t>A Febey</t>
  </si>
  <si>
    <t>T Kelly</t>
  </si>
  <si>
    <t>T O'Mahony</t>
  </si>
  <si>
    <t>A Woolley</t>
  </si>
  <si>
    <t>S Claridge</t>
  </si>
  <si>
    <t>I Febey</t>
  </si>
  <si>
    <t>N Sharma</t>
  </si>
  <si>
    <t>B Cashion</t>
  </si>
  <si>
    <t>A Hillier</t>
  </si>
  <si>
    <t>T Milbourne</t>
  </si>
  <si>
    <t>M Kirkwood</t>
  </si>
  <si>
    <t>R Cole</t>
  </si>
  <si>
    <t>N Ayesu</t>
  </si>
  <si>
    <t>J Higginson</t>
  </si>
  <si>
    <t>C Alexander</t>
  </si>
  <si>
    <t>S Shaw</t>
  </si>
  <si>
    <t>M Graham</t>
  </si>
  <si>
    <t>J Kelly</t>
  </si>
  <si>
    <t>A Hardy</t>
  </si>
  <si>
    <t>J Haywood</t>
  </si>
  <si>
    <t>Pe Fulton</t>
  </si>
  <si>
    <t>Pa Fulton</t>
  </si>
  <si>
    <t>S Steven</t>
  </si>
  <si>
    <t>A McAuliffe</t>
  </si>
  <si>
    <t>F Rockliff</t>
  </si>
  <si>
    <t>S Gray</t>
  </si>
  <si>
    <t>C Casey</t>
  </si>
  <si>
    <t>T Doherty</t>
  </si>
  <si>
    <t>B Smith</t>
  </si>
  <si>
    <t>D Silva</t>
  </si>
  <si>
    <t>N Gamage</t>
  </si>
  <si>
    <t>W Ollington</t>
  </si>
  <si>
    <t>S Purton (Stebbings)</t>
  </si>
  <si>
    <t>D Plumbridge</t>
  </si>
  <si>
    <t>R Wallace</t>
  </si>
  <si>
    <t>M Smuts</t>
  </si>
  <si>
    <t>B Walker-Brooks</t>
  </si>
  <si>
    <t>INCLUDES 2023-24 SEASON</t>
  </si>
  <si>
    <t>M Clarke</t>
  </si>
  <si>
    <t>B Watling</t>
  </si>
  <si>
    <t>D Smuts</t>
  </si>
  <si>
    <t>Ch Lunson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</si>
</sst>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quotePrefix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zoomScaleNormal="100" workbookViewId="0">
      <selection activeCell="G20" sqref="A4:G20"/>
    </sheetView>
  </sheetViews>
  <sheetFormatPr defaultRowHeight="13.2" x14ac:dyDescent="0.25"/>
  <cols>
    <col min="1" max="1" width="19.6640625" customWidth="1"/>
    <col min="2" max="2" width="12.44140625" customWidth="1"/>
    <col min="3" max="3" width="12" customWidth="1"/>
    <col min="4" max="4" width="13.109375" customWidth="1"/>
    <col min="5" max="5" width="11.5546875" customWidth="1"/>
    <col min="6" max="6" width="9.5546875" customWidth="1"/>
    <col min="7" max="7" width="19.44140625" customWidth="1"/>
  </cols>
  <sheetData>
    <row r="1" spans="1:7" ht="18" x14ac:dyDescent="0.35">
      <c r="A1" s="9" t="s">
        <v>48</v>
      </c>
    </row>
    <row r="2" spans="1:7" ht="18" x14ac:dyDescent="0.35">
      <c r="A2" s="9" t="s">
        <v>47</v>
      </c>
    </row>
    <row r="3" spans="1:7" x14ac:dyDescent="0.25">
      <c r="A3" s="1" t="s">
        <v>0</v>
      </c>
      <c r="B3" s="2" t="s">
        <v>1</v>
      </c>
      <c r="C3" s="2" t="s">
        <v>2</v>
      </c>
      <c r="D3" s="2" t="s">
        <v>4</v>
      </c>
      <c r="E3" s="2" t="s">
        <v>3</v>
      </c>
      <c r="F3" s="2" t="s">
        <v>5</v>
      </c>
      <c r="G3" s="2" t="s">
        <v>6</v>
      </c>
    </row>
    <row r="4" spans="1:7" x14ac:dyDescent="0.25">
      <c r="A4" s="7" t="s">
        <v>36</v>
      </c>
      <c r="B4" s="3">
        <v>7</v>
      </c>
      <c r="C4" s="3">
        <v>7</v>
      </c>
      <c r="D4" s="3">
        <v>1</v>
      </c>
      <c r="E4" s="3">
        <v>91</v>
      </c>
      <c r="F4" s="3">
        <v>32</v>
      </c>
      <c r="G4" s="4">
        <v>15.166666666666</v>
      </c>
    </row>
    <row r="5" spans="1:7" x14ac:dyDescent="0.25">
      <c r="A5" s="7" t="s">
        <v>22</v>
      </c>
      <c r="B5" s="3">
        <v>4</v>
      </c>
      <c r="C5" s="3">
        <v>4</v>
      </c>
      <c r="D5" s="3">
        <v>2</v>
      </c>
      <c r="E5" s="3">
        <v>24</v>
      </c>
      <c r="F5" s="3">
        <v>12.1</v>
      </c>
      <c r="G5" s="4">
        <v>12</v>
      </c>
    </row>
    <row r="6" spans="1:7" x14ac:dyDescent="0.25">
      <c r="A6" s="7" t="s">
        <v>37</v>
      </c>
      <c r="B6" s="3">
        <v>8</v>
      </c>
      <c r="C6" s="3">
        <v>8</v>
      </c>
      <c r="D6" s="3">
        <v>1</v>
      </c>
      <c r="E6" s="3">
        <v>43</v>
      </c>
      <c r="F6" s="3">
        <v>14.1</v>
      </c>
      <c r="G6" s="4">
        <v>6.1428571428570002</v>
      </c>
    </row>
    <row r="7" spans="1:7" x14ac:dyDescent="0.25">
      <c r="A7" s="7" t="s">
        <v>38</v>
      </c>
      <c r="B7" s="3">
        <v>4</v>
      </c>
      <c r="C7" s="3">
        <v>2</v>
      </c>
      <c r="D7" s="3">
        <v>1</v>
      </c>
      <c r="E7" s="3">
        <v>6</v>
      </c>
      <c r="F7" s="3">
        <v>5.0999999999999996</v>
      </c>
      <c r="G7" s="4">
        <v>6</v>
      </c>
    </row>
    <row r="8" spans="1:7" x14ac:dyDescent="0.25">
      <c r="A8" s="7" t="s">
        <v>31</v>
      </c>
      <c r="B8" s="3">
        <v>9</v>
      </c>
      <c r="C8" s="3">
        <v>8</v>
      </c>
      <c r="D8" s="3">
        <v>2</v>
      </c>
      <c r="E8" s="3">
        <v>29</v>
      </c>
      <c r="F8" s="3">
        <v>13</v>
      </c>
      <c r="G8" s="4">
        <v>4.833333333333</v>
      </c>
    </row>
    <row r="9" spans="1:7" x14ac:dyDescent="0.25">
      <c r="A9" s="7" t="s">
        <v>11</v>
      </c>
      <c r="B9" s="3">
        <v>6</v>
      </c>
      <c r="C9" s="3">
        <v>6</v>
      </c>
      <c r="D9" s="3">
        <v>3</v>
      </c>
      <c r="E9" s="3">
        <v>13</v>
      </c>
      <c r="F9" s="3">
        <v>5.0999999999999996</v>
      </c>
      <c r="G9" s="4">
        <v>4.333333333333</v>
      </c>
    </row>
    <row r="10" spans="1:7" x14ac:dyDescent="0.25">
      <c r="A10" s="7" t="s">
        <v>25</v>
      </c>
      <c r="B10" s="3">
        <v>9</v>
      </c>
      <c r="C10" s="3">
        <v>8</v>
      </c>
      <c r="D10" s="3">
        <v>1</v>
      </c>
      <c r="E10" s="3">
        <v>23</v>
      </c>
      <c r="F10" s="3">
        <v>6.1</v>
      </c>
      <c r="G10" s="4">
        <v>3.285714285714</v>
      </c>
    </row>
    <row r="11" spans="1:7" x14ac:dyDescent="0.25">
      <c r="A11" s="7" t="s">
        <v>28</v>
      </c>
      <c r="B11" s="3">
        <v>9</v>
      </c>
      <c r="C11" s="3">
        <v>8</v>
      </c>
      <c r="D11" s="3">
        <v>0</v>
      </c>
      <c r="E11" s="3">
        <v>19</v>
      </c>
      <c r="F11" s="3">
        <v>5</v>
      </c>
      <c r="G11" s="4">
        <v>2.375</v>
      </c>
    </row>
    <row r="12" spans="1:7" x14ac:dyDescent="0.25">
      <c r="A12" s="7" t="s">
        <v>17</v>
      </c>
      <c r="B12" s="3">
        <v>7</v>
      </c>
      <c r="C12" s="3">
        <v>4</v>
      </c>
      <c r="D12" s="3">
        <v>0</v>
      </c>
      <c r="E12" s="3">
        <v>8</v>
      </c>
      <c r="F12" s="3">
        <v>4</v>
      </c>
      <c r="G12" s="4">
        <v>2</v>
      </c>
    </row>
    <row r="13" spans="1:7" x14ac:dyDescent="0.25">
      <c r="A13" s="7" t="s">
        <v>39</v>
      </c>
      <c r="B13" s="3">
        <v>9</v>
      </c>
      <c r="C13" s="3">
        <v>8</v>
      </c>
      <c r="D13" s="3">
        <v>0</v>
      </c>
      <c r="E13" s="3">
        <v>12</v>
      </c>
      <c r="F13" s="3">
        <v>6</v>
      </c>
      <c r="G13" s="4">
        <v>1.5</v>
      </c>
    </row>
    <row r="14" spans="1:7" x14ac:dyDescent="0.25">
      <c r="A14" s="7" t="s">
        <v>40</v>
      </c>
      <c r="B14" s="3">
        <v>5</v>
      </c>
      <c r="C14" s="3">
        <v>2</v>
      </c>
      <c r="D14" s="3">
        <v>0</v>
      </c>
      <c r="E14" s="3">
        <v>3</v>
      </c>
      <c r="F14" s="3">
        <v>2</v>
      </c>
      <c r="G14" s="4">
        <v>1.5</v>
      </c>
    </row>
    <row r="15" spans="1:7" x14ac:dyDescent="0.25">
      <c r="A15" s="7" t="s">
        <v>14</v>
      </c>
      <c r="B15" s="3">
        <v>9</v>
      </c>
      <c r="C15" s="3">
        <v>6</v>
      </c>
      <c r="D15" s="3">
        <v>0</v>
      </c>
      <c r="E15" s="3">
        <v>5</v>
      </c>
      <c r="F15" s="3">
        <v>2</v>
      </c>
      <c r="G15" s="4">
        <v>0.83333333333299997</v>
      </c>
    </row>
    <row r="16" spans="1:7" x14ac:dyDescent="0.25">
      <c r="A16" s="7" t="s">
        <v>41</v>
      </c>
      <c r="B16" s="3">
        <v>8</v>
      </c>
      <c r="C16" s="3">
        <v>6</v>
      </c>
      <c r="D16" s="3">
        <v>1</v>
      </c>
      <c r="E16" s="3">
        <v>3</v>
      </c>
      <c r="F16" s="3">
        <v>3</v>
      </c>
      <c r="G16" s="4">
        <v>0.6</v>
      </c>
    </row>
    <row r="17" spans="1:7" x14ac:dyDescent="0.25">
      <c r="A17" s="7" t="s">
        <v>42</v>
      </c>
      <c r="B17" s="3">
        <v>4</v>
      </c>
      <c r="C17" s="3">
        <v>3</v>
      </c>
      <c r="D17" s="3">
        <v>0</v>
      </c>
      <c r="E17" s="3">
        <v>0</v>
      </c>
      <c r="F17" s="3">
        <v>0</v>
      </c>
      <c r="G17" s="4">
        <v>0</v>
      </c>
    </row>
    <row r="18" spans="1:7" x14ac:dyDescent="0.25">
      <c r="A18" s="7" t="s">
        <v>43</v>
      </c>
      <c r="B18" s="3">
        <v>1</v>
      </c>
      <c r="C18" s="3">
        <v>1</v>
      </c>
      <c r="D18" s="3">
        <v>0</v>
      </c>
      <c r="E18" s="3">
        <v>0</v>
      </c>
      <c r="F18" s="3">
        <v>0</v>
      </c>
      <c r="G18" s="4">
        <v>0</v>
      </c>
    </row>
    <row r="19" spans="1:7" x14ac:dyDescent="0.25">
      <c r="A19" s="7" t="s">
        <v>20</v>
      </c>
      <c r="B19" s="3">
        <v>1</v>
      </c>
      <c r="C19" s="3">
        <v>1</v>
      </c>
      <c r="D19" s="3">
        <v>1</v>
      </c>
      <c r="E19" s="3">
        <v>33</v>
      </c>
      <c r="F19" s="3">
        <v>33.1</v>
      </c>
      <c r="G19" s="5" t="s">
        <v>7</v>
      </c>
    </row>
    <row r="20" spans="1:7" x14ac:dyDescent="0.25">
      <c r="A20" s="7" t="s">
        <v>44</v>
      </c>
      <c r="B20" s="3">
        <v>1</v>
      </c>
      <c r="C20" s="3">
        <v>1</v>
      </c>
      <c r="D20" s="3">
        <v>1</v>
      </c>
      <c r="E20" s="3">
        <v>0</v>
      </c>
      <c r="F20" s="3">
        <v>0.1</v>
      </c>
      <c r="G20" s="5" t="s">
        <v>7</v>
      </c>
    </row>
    <row r="22" spans="1:7" ht="18" x14ac:dyDescent="0.35">
      <c r="A22" s="10" t="s">
        <v>49</v>
      </c>
    </row>
    <row r="23" spans="1:7" x14ac:dyDescent="0.25">
      <c r="A23" s="1" t="s">
        <v>0</v>
      </c>
      <c r="B23" s="2" t="s">
        <v>35</v>
      </c>
      <c r="C23" s="2" t="s">
        <v>34</v>
      </c>
      <c r="D23" s="2" t="s">
        <v>33</v>
      </c>
      <c r="E23" s="2" t="s">
        <v>3</v>
      </c>
      <c r="F23" s="2" t="s">
        <v>6</v>
      </c>
      <c r="G23" s="2" t="s">
        <v>32</v>
      </c>
    </row>
    <row r="24" spans="1:7" x14ac:dyDescent="0.25">
      <c r="A24" s="7" t="s">
        <v>31</v>
      </c>
      <c r="B24" s="6" t="s">
        <v>30</v>
      </c>
      <c r="C24" s="3">
        <v>10</v>
      </c>
      <c r="D24" s="3">
        <v>3</v>
      </c>
      <c r="E24" s="3">
        <v>127</v>
      </c>
      <c r="F24" s="4">
        <v>12.7</v>
      </c>
      <c r="G24" s="6" t="s">
        <v>29</v>
      </c>
    </row>
    <row r="25" spans="1:7" x14ac:dyDescent="0.25">
      <c r="A25" s="7" t="s">
        <v>28</v>
      </c>
      <c r="B25" s="6" t="s">
        <v>27</v>
      </c>
      <c r="C25" s="3">
        <v>5</v>
      </c>
      <c r="D25" s="3">
        <v>0</v>
      </c>
      <c r="E25" s="3">
        <v>95</v>
      </c>
      <c r="F25" s="4">
        <v>19</v>
      </c>
      <c r="G25" s="6" t="s">
        <v>26</v>
      </c>
    </row>
    <row r="26" spans="1:7" x14ac:dyDescent="0.25">
      <c r="A26" s="7" t="s">
        <v>25</v>
      </c>
      <c r="B26" s="6" t="s">
        <v>24</v>
      </c>
      <c r="C26" s="3">
        <v>4</v>
      </c>
      <c r="D26" s="3">
        <v>1</v>
      </c>
      <c r="E26" s="3">
        <v>158</v>
      </c>
      <c r="F26" s="4">
        <v>39.5</v>
      </c>
      <c r="G26" s="6" t="s">
        <v>23</v>
      </c>
    </row>
    <row r="27" spans="1:7" x14ac:dyDescent="0.25">
      <c r="A27" s="7" t="s">
        <v>22</v>
      </c>
      <c r="B27" s="6" t="s">
        <v>16</v>
      </c>
      <c r="C27" s="3">
        <v>3</v>
      </c>
      <c r="D27" s="3">
        <v>0</v>
      </c>
      <c r="E27" s="3">
        <v>50</v>
      </c>
      <c r="F27" s="4">
        <v>16.666666666666</v>
      </c>
      <c r="G27" s="6" t="s">
        <v>21</v>
      </c>
    </row>
    <row r="28" spans="1:7" x14ac:dyDescent="0.25">
      <c r="A28" s="7" t="s">
        <v>20</v>
      </c>
      <c r="B28" s="6" t="s">
        <v>19</v>
      </c>
      <c r="C28" s="3">
        <v>2</v>
      </c>
      <c r="D28" s="3">
        <v>1</v>
      </c>
      <c r="E28" s="3">
        <v>13</v>
      </c>
      <c r="F28" s="4">
        <v>6.5</v>
      </c>
      <c r="G28" s="6" t="s">
        <v>18</v>
      </c>
    </row>
    <row r="29" spans="1:7" x14ac:dyDescent="0.25">
      <c r="A29" s="7" t="s">
        <v>17</v>
      </c>
      <c r="B29" s="6" t="s">
        <v>16</v>
      </c>
      <c r="C29" s="3">
        <v>1</v>
      </c>
      <c r="D29" s="3">
        <v>0</v>
      </c>
      <c r="E29" s="3">
        <v>76</v>
      </c>
      <c r="F29" s="4">
        <v>76</v>
      </c>
      <c r="G29" s="6" t="s">
        <v>15</v>
      </c>
    </row>
    <row r="30" spans="1:7" x14ac:dyDescent="0.25">
      <c r="A30" s="7" t="s">
        <v>14</v>
      </c>
      <c r="B30" s="6" t="s">
        <v>13</v>
      </c>
      <c r="C30" s="3">
        <v>0</v>
      </c>
      <c r="D30" s="3">
        <v>0</v>
      </c>
      <c r="E30" s="3">
        <v>6</v>
      </c>
      <c r="F30" s="5" t="s">
        <v>9</v>
      </c>
      <c r="G30" s="6" t="s">
        <v>12</v>
      </c>
    </row>
    <row r="31" spans="1:7" x14ac:dyDescent="0.25">
      <c r="A31" s="7" t="s">
        <v>11</v>
      </c>
      <c r="B31" s="6" t="s">
        <v>10</v>
      </c>
      <c r="C31" s="3">
        <v>0</v>
      </c>
      <c r="D31" s="3">
        <v>0</v>
      </c>
      <c r="E31" s="3">
        <v>40</v>
      </c>
      <c r="F31" s="5" t="s">
        <v>9</v>
      </c>
      <c r="G31" s="6" t="s">
        <v>8</v>
      </c>
    </row>
    <row r="32" spans="1:7" x14ac:dyDescent="0.25">
      <c r="A32" s="7"/>
      <c r="B32" s="6"/>
      <c r="C32" s="3"/>
      <c r="D32" s="3"/>
      <c r="E32" s="3"/>
      <c r="F32" s="5"/>
      <c r="G32" s="6"/>
    </row>
    <row r="33" spans="1:3" ht="18" x14ac:dyDescent="0.35">
      <c r="A33" s="10" t="s">
        <v>50</v>
      </c>
    </row>
    <row r="34" spans="1:3" x14ac:dyDescent="0.25">
      <c r="A34" s="1" t="s">
        <v>0</v>
      </c>
      <c r="B34" s="2" t="s">
        <v>46</v>
      </c>
      <c r="C34" s="8" t="s">
        <v>45</v>
      </c>
    </row>
    <row r="35" spans="1:3" x14ac:dyDescent="0.25">
      <c r="A35" s="7" t="s">
        <v>25</v>
      </c>
      <c r="B35" s="3">
        <v>4</v>
      </c>
    </row>
    <row r="36" spans="1:3" x14ac:dyDescent="0.25">
      <c r="A36" s="7" t="s">
        <v>28</v>
      </c>
      <c r="B36" s="3">
        <v>1</v>
      </c>
    </row>
    <row r="37" spans="1:3" x14ac:dyDescent="0.25">
      <c r="A37" s="7" t="s">
        <v>14</v>
      </c>
      <c r="B37" s="3">
        <v>1</v>
      </c>
    </row>
    <row r="38" spans="1:3" x14ac:dyDescent="0.25">
      <c r="A38" s="7" t="s">
        <v>36</v>
      </c>
      <c r="B38" s="3">
        <v>1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546B-3A10-4A83-9C77-B25E0400DF64}">
  <dimension ref="A1:M66"/>
  <sheetViews>
    <sheetView tabSelected="1" workbookViewId="0">
      <pane ySplit="2" topLeftCell="A3" activePane="bottomLeft" state="frozen"/>
      <selection pane="bottomLeft" activeCell="M8" sqref="M8"/>
    </sheetView>
  </sheetViews>
  <sheetFormatPr defaultRowHeight="13.2" x14ac:dyDescent="0.25"/>
  <cols>
    <col min="1" max="1" width="32.21875" customWidth="1"/>
    <col min="2" max="5" width="8.88671875" style="3"/>
    <col min="6" max="6" width="9.88671875" style="3" bestFit="1" customWidth="1"/>
    <col min="7" max="7" width="4.77734375" style="3" customWidth="1"/>
    <col min="8" max="8" width="10" style="3" bestFit="1" customWidth="1"/>
    <col min="9" max="9" width="8.88671875" style="3"/>
    <col min="10" max="10" width="9.88671875" style="4" bestFit="1" customWidth="1"/>
    <col min="11" max="11" width="3.44140625" style="3" customWidth="1"/>
    <col min="12" max="12" width="9.6640625" style="3" bestFit="1" customWidth="1"/>
    <col min="13" max="13" width="12.109375" style="3" bestFit="1" customWidth="1"/>
  </cols>
  <sheetData>
    <row r="1" spans="1:13" x14ac:dyDescent="0.25">
      <c r="A1" s="1" t="s">
        <v>51</v>
      </c>
      <c r="B1" s="2" t="s">
        <v>47</v>
      </c>
      <c r="C1" s="2"/>
      <c r="D1" s="2"/>
      <c r="E1" s="2"/>
      <c r="F1" s="2"/>
      <c r="G1" s="2"/>
      <c r="H1" s="2" t="s">
        <v>49</v>
      </c>
      <c r="I1" s="2"/>
      <c r="J1" s="11"/>
      <c r="K1" s="2"/>
      <c r="L1" s="2" t="s">
        <v>50</v>
      </c>
      <c r="M1" s="2"/>
    </row>
    <row r="2" spans="1:13" x14ac:dyDescent="0.25">
      <c r="A2" s="1" t="s">
        <v>104</v>
      </c>
      <c r="B2" s="2" t="s">
        <v>52</v>
      </c>
      <c r="C2" s="2" t="s">
        <v>53</v>
      </c>
      <c r="D2" s="2" t="s">
        <v>59</v>
      </c>
      <c r="E2" s="2" t="s">
        <v>54</v>
      </c>
      <c r="F2" s="2" t="s">
        <v>55</v>
      </c>
      <c r="G2" s="2"/>
      <c r="H2" s="2" t="s">
        <v>56</v>
      </c>
      <c r="I2" s="2" t="s">
        <v>54</v>
      </c>
      <c r="J2" s="11" t="s">
        <v>55</v>
      </c>
      <c r="K2" s="2"/>
      <c r="L2" s="2" t="s">
        <v>57</v>
      </c>
      <c r="M2" s="2" t="s">
        <v>58</v>
      </c>
    </row>
    <row r="3" spans="1:13" x14ac:dyDescent="0.25">
      <c r="A3" s="7" t="s">
        <v>36</v>
      </c>
      <c r="B3" s="3">
        <f>7+9+2+9+4+9+5+6+4+12</f>
        <v>67</v>
      </c>
      <c r="C3" s="3">
        <f>7+9+2+9+3+9+5+6+2+9</f>
        <v>61</v>
      </c>
      <c r="D3" s="3">
        <f>1+1+0+0+0+0+0+0+0+2</f>
        <v>4</v>
      </c>
      <c r="E3" s="3">
        <f>91+94+2+48+12+82+31+70+26+60</f>
        <v>516</v>
      </c>
      <c r="F3" s="4">
        <f>E3/(C3-D3)</f>
        <v>9.0526315789473681</v>
      </c>
      <c r="H3" s="3">
        <f>0</f>
        <v>0</v>
      </c>
      <c r="I3" s="3">
        <f>9</f>
        <v>9</v>
      </c>
      <c r="J3" s="4" t="e">
        <f>I3/H3</f>
        <v>#DIV/0!</v>
      </c>
      <c r="L3" s="3">
        <f>1+1+3+2+1+1+4</f>
        <v>13</v>
      </c>
    </row>
    <row r="4" spans="1:13" x14ac:dyDescent="0.25">
      <c r="A4" s="7" t="s">
        <v>22</v>
      </c>
      <c r="B4" s="3">
        <f>4+2</f>
        <v>6</v>
      </c>
      <c r="C4" s="3">
        <f>4+2</f>
        <v>6</v>
      </c>
      <c r="D4" s="3">
        <f>2+1</f>
        <v>3</v>
      </c>
      <c r="E4" s="3">
        <f>24+4</f>
        <v>28</v>
      </c>
      <c r="F4" s="4">
        <f t="shared" ref="F4:F46" si="0">E4/(C4-D4)</f>
        <v>9.3333333333333339</v>
      </c>
      <c r="H4" s="3">
        <f>3+0</f>
        <v>3</v>
      </c>
      <c r="I4" s="3">
        <f>50+13</f>
        <v>63</v>
      </c>
      <c r="J4" s="4">
        <f>I4/H4</f>
        <v>21</v>
      </c>
    </row>
    <row r="5" spans="1:13" x14ac:dyDescent="0.25">
      <c r="A5" s="7" t="s">
        <v>37</v>
      </c>
      <c r="B5" s="3">
        <f>8+2</f>
        <v>10</v>
      </c>
      <c r="C5" s="3">
        <f>8+2</f>
        <v>10</v>
      </c>
      <c r="D5" s="3">
        <v>1</v>
      </c>
      <c r="E5" s="3">
        <f>43+0</f>
        <v>43</v>
      </c>
      <c r="F5" s="4">
        <f t="shared" si="0"/>
        <v>4.7777777777777777</v>
      </c>
      <c r="J5" s="4" t="s">
        <v>45</v>
      </c>
    </row>
    <row r="6" spans="1:13" x14ac:dyDescent="0.25">
      <c r="A6" s="7" t="s">
        <v>38</v>
      </c>
      <c r="B6" s="3">
        <v>4</v>
      </c>
      <c r="C6" s="3">
        <v>2</v>
      </c>
      <c r="D6" s="3">
        <v>1</v>
      </c>
      <c r="E6" s="3">
        <v>6</v>
      </c>
      <c r="F6" s="4">
        <f t="shared" si="0"/>
        <v>6</v>
      </c>
      <c r="J6" s="4" t="s">
        <v>45</v>
      </c>
    </row>
    <row r="7" spans="1:13" x14ac:dyDescent="0.25">
      <c r="A7" s="7" t="s">
        <v>31</v>
      </c>
      <c r="B7" s="3">
        <f>9+5</f>
        <v>14</v>
      </c>
      <c r="C7" s="3">
        <f>8+5</f>
        <v>13</v>
      </c>
      <c r="D7" s="3">
        <f>2+3</f>
        <v>5</v>
      </c>
      <c r="E7" s="3">
        <f>29+21</f>
        <v>50</v>
      </c>
      <c r="F7" s="4">
        <f t="shared" si="0"/>
        <v>6.25</v>
      </c>
      <c r="H7" s="3">
        <f>10+0</f>
        <v>10</v>
      </c>
      <c r="I7" s="3">
        <f>127+61</f>
        <v>188</v>
      </c>
      <c r="J7" s="4">
        <f t="shared" ref="J7:J18" si="1">I7/H7</f>
        <v>18.8</v>
      </c>
      <c r="L7" s="3">
        <f>1</f>
        <v>1</v>
      </c>
    </row>
    <row r="8" spans="1:13" x14ac:dyDescent="0.25">
      <c r="A8" s="7" t="s">
        <v>11</v>
      </c>
      <c r="B8" s="3">
        <f>6+8</f>
        <v>14</v>
      </c>
      <c r="C8" s="3">
        <f>6+6</f>
        <v>12</v>
      </c>
      <c r="D8" s="3">
        <f>3+0</f>
        <v>3</v>
      </c>
      <c r="E8" s="3">
        <f>13+72</f>
        <v>85</v>
      </c>
      <c r="F8" s="4">
        <f t="shared" si="0"/>
        <v>9.4444444444444446</v>
      </c>
      <c r="H8" s="3">
        <f>0+0</f>
        <v>0</v>
      </c>
      <c r="I8" s="3">
        <f>40+91</f>
        <v>131</v>
      </c>
      <c r="J8" s="4" t="e">
        <f t="shared" si="1"/>
        <v>#DIV/0!</v>
      </c>
    </row>
    <row r="9" spans="1:13" x14ac:dyDescent="0.25">
      <c r="A9" s="7" t="s">
        <v>25</v>
      </c>
      <c r="B9" s="3">
        <f>9+1</f>
        <v>10</v>
      </c>
      <c r="C9" s="3">
        <f>8+1</f>
        <v>9</v>
      </c>
      <c r="D9" s="3">
        <f>1+1</f>
        <v>2</v>
      </c>
      <c r="E9" s="3">
        <f>23+5</f>
        <v>28</v>
      </c>
      <c r="F9" s="4">
        <f t="shared" si="0"/>
        <v>4</v>
      </c>
      <c r="H9" s="3">
        <f>4+1</f>
        <v>5</v>
      </c>
      <c r="I9" s="3">
        <f>158+10</f>
        <v>168</v>
      </c>
      <c r="J9" s="4">
        <f t="shared" si="1"/>
        <v>33.6</v>
      </c>
      <c r="L9" s="3">
        <f>4</f>
        <v>4</v>
      </c>
    </row>
    <row r="10" spans="1:13" x14ac:dyDescent="0.25">
      <c r="A10" s="7" t="s">
        <v>28</v>
      </c>
      <c r="B10" s="3">
        <v>9</v>
      </c>
      <c r="C10" s="3">
        <v>8</v>
      </c>
      <c r="D10" s="3">
        <v>0</v>
      </c>
      <c r="E10" s="3">
        <v>19</v>
      </c>
      <c r="F10" s="4">
        <f t="shared" si="0"/>
        <v>2.375</v>
      </c>
      <c r="H10" s="3">
        <f>5</f>
        <v>5</v>
      </c>
      <c r="I10" s="3">
        <f>95</f>
        <v>95</v>
      </c>
      <c r="J10" s="4">
        <f t="shared" si="1"/>
        <v>19</v>
      </c>
      <c r="L10" s="3">
        <f>1</f>
        <v>1</v>
      </c>
    </row>
    <row r="11" spans="1:13" x14ac:dyDescent="0.25">
      <c r="A11" s="7" t="s">
        <v>17</v>
      </c>
      <c r="B11" s="3">
        <v>7</v>
      </c>
      <c r="C11" s="3">
        <v>4</v>
      </c>
      <c r="D11" s="3">
        <v>0</v>
      </c>
      <c r="E11" s="3">
        <v>8</v>
      </c>
      <c r="F11" s="4">
        <f t="shared" si="0"/>
        <v>2</v>
      </c>
      <c r="H11" s="3">
        <f>1</f>
        <v>1</v>
      </c>
      <c r="I11" s="3">
        <f>76</f>
        <v>76</v>
      </c>
      <c r="J11" s="4">
        <f t="shared" si="1"/>
        <v>76</v>
      </c>
    </row>
    <row r="12" spans="1:13" x14ac:dyDescent="0.25">
      <c r="A12" s="7" t="s">
        <v>39</v>
      </c>
      <c r="B12" s="3">
        <f>9+1</f>
        <v>10</v>
      </c>
      <c r="C12" s="3">
        <f>8+1</f>
        <v>9</v>
      </c>
      <c r="D12" s="3">
        <v>0</v>
      </c>
      <c r="E12" s="3">
        <f>12+0</f>
        <v>12</v>
      </c>
      <c r="F12" s="4">
        <f t="shared" si="0"/>
        <v>1.3333333333333333</v>
      </c>
      <c r="J12" s="4" t="s">
        <v>45</v>
      </c>
    </row>
    <row r="13" spans="1:13" x14ac:dyDescent="0.25">
      <c r="A13" s="7" t="s">
        <v>40</v>
      </c>
      <c r="B13" s="3">
        <v>5</v>
      </c>
      <c r="C13" s="3">
        <v>2</v>
      </c>
      <c r="D13" s="3">
        <v>0</v>
      </c>
      <c r="E13" s="3">
        <v>3</v>
      </c>
      <c r="F13" s="4">
        <f t="shared" si="0"/>
        <v>1.5</v>
      </c>
      <c r="J13" s="4" t="s">
        <v>45</v>
      </c>
    </row>
    <row r="14" spans="1:13" x14ac:dyDescent="0.25">
      <c r="A14" s="7" t="s">
        <v>14</v>
      </c>
      <c r="B14" s="3">
        <f>9+1</f>
        <v>10</v>
      </c>
      <c r="C14" s="3">
        <f>6+1</f>
        <v>7</v>
      </c>
      <c r="D14" s="3">
        <v>0</v>
      </c>
      <c r="E14" s="3">
        <f>5+2</f>
        <v>7</v>
      </c>
      <c r="F14" s="4">
        <f t="shared" si="0"/>
        <v>1</v>
      </c>
      <c r="H14" s="3">
        <f>0</f>
        <v>0</v>
      </c>
      <c r="I14" s="3">
        <f>6</f>
        <v>6</v>
      </c>
      <c r="J14" s="4" t="e">
        <f t="shared" si="1"/>
        <v>#DIV/0!</v>
      </c>
      <c r="L14" s="3">
        <f>1</f>
        <v>1</v>
      </c>
    </row>
    <row r="15" spans="1:13" x14ac:dyDescent="0.25">
      <c r="A15" s="7" t="s">
        <v>62</v>
      </c>
      <c r="B15" s="3">
        <f>8+7+4+10+11+5+1</f>
        <v>46</v>
      </c>
      <c r="C15" s="3">
        <f>6+6+3+3+1+3</f>
        <v>22</v>
      </c>
      <c r="D15" s="3">
        <f>1+1+1+0+0+2</f>
        <v>5</v>
      </c>
      <c r="E15" s="3">
        <f>3+47+1+6+1</f>
        <v>58</v>
      </c>
      <c r="F15" s="4">
        <f>E15/(C15-D15)</f>
        <v>3.4117647058823528</v>
      </c>
      <c r="H15" s="3">
        <f>1+0</f>
        <v>1</v>
      </c>
      <c r="I15" s="3">
        <f>44+6</f>
        <v>50</v>
      </c>
      <c r="J15" s="4">
        <f t="shared" si="1"/>
        <v>50</v>
      </c>
      <c r="L15" s="3">
        <f>2</f>
        <v>2</v>
      </c>
    </row>
    <row r="16" spans="1:13" x14ac:dyDescent="0.25">
      <c r="A16" s="7" t="s">
        <v>42</v>
      </c>
      <c r="B16" s="3">
        <v>4</v>
      </c>
      <c r="C16" s="3">
        <v>3</v>
      </c>
      <c r="D16" s="3">
        <v>0</v>
      </c>
      <c r="E16" s="3">
        <v>0</v>
      </c>
      <c r="F16" s="4">
        <f t="shared" si="0"/>
        <v>0</v>
      </c>
      <c r="J16" s="4" t="s">
        <v>45</v>
      </c>
    </row>
    <row r="17" spans="1:12" x14ac:dyDescent="0.25">
      <c r="A17" s="7" t="s">
        <v>43</v>
      </c>
      <c r="B17" s="3">
        <v>1</v>
      </c>
      <c r="C17" s="3">
        <v>1</v>
      </c>
      <c r="D17" s="3">
        <v>0</v>
      </c>
      <c r="E17" s="3">
        <v>0</v>
      </c>
      <c r="F17" s="4">
        <f t="shared" si="0"/>
        <v>0</v>
      </c>
      <c r="J17" s="4" t="s">
        <v>45</v>
      </c>
    </row>
    <row r="18" spans="1:12" x14ac:dyDescent="0.25">
      <c r="A18" s="7" t="s">
        <v>20</v>
      </c>
      <c r="B18" s="3">
        <v>1</v>
      </c>
      <c r="C18" s="3">
        <v>1</v>
      </c>
      <c r="D18" s="3">
        <v>1</v>
      </c>
      <c r="E18" s="3">
        <v>33</v>
      </c>
      <c r="F18" s="4" t="e">
        <f t="shared" si="0"/>
        <v>#DIV/0!</v>
      </c>
      <c r="H18" s="3">
        <f>2</f>
        <v>2</v>
      </c>
      <c r="I18" s="3">
        <f>13</f>
        <v>13</v>
      </c>
      <c r="J18" s="4">
        <f t="shared" si="1"/>
        <v>6.5</v>
      </c>
    </row>
    <row r="19" spans="1:12" x14ac:dyDescent="0.25">
      <c r="A19" s="7" t="s">
        <v>44</v>
      </c>
      <c r="B19" s="3">
        <v>1</v>
      </c>
      <c r="C19" s="3">
        <v>1</v>
      </c>
      <c r="D19" s="3">
        <v>1</v>
      </c>
      <c r="E19" s="3">
        <v>0</v>
      </c>
      <c r="F19" s="4" t="e">
        <f t="shared" si="0"/>
        <v>#DIV/0!</v>
      </c>
    </row>
    <row r="20" spans="1:12" x14ac:dyDescent="0.25">
      <c r="A20" s="8" t="s">
        <v>60</v>
      </c>
      <c r="B20" s="3">
        <f>10+9+4+11+5+8+4+13+12</f>
        <v>76</v>
      </c>
      <c r="C20" s="3">
        <f>10+9+3+11+6+8+3+10+12</f>
        <v>72</v>
      </c>
      <c r="D20" s="3">
        <f>4+2+0+5+2+0+2+3+0</f>
        <v>18</v>
      </c>
      <c r="E20" s="3">
        <f>247+168+33+304+85+116+73+188+228</f>
        <v>1442</v>
      </c>
      <c r="F20" s="4">
        <f t="shared" si="0"/>
        <v>26.703703703703702</v>
      </c>
      <c r="H20" s="3">
        <f>12+12+5+8+9+0+0+0+0</f>
        <v>46</v>
      </c>
      <c r="I20" s="3">
        <f>109+75+42+150+49+4+14+14+3</f>
        <v>460</v>
      </c>
      <c r="J20" s="4">
        <f>I20/H20</f>
        <v>10</v>
      </c>
      <c r="L20" s="3">
        <f>2+1+1+3+5+5</f>
        <v>17</v>
      </c>
    </row>
    <row r="21" spans="1:12" x14ac:dyDescent="0.25">
      <c r="A21" s="8" t="s">
        <v>61</v>
      </c>
      <c r="B21" s="3">
        <f>8+9+4+10+5</f>
        <v>36</v>
      </c>
      <c r="C21" s="3">
        <f>7+5+1+3+4</f>
        <v>20</v>
      </c>
      <c r="D21" s="3">
        <f>1+3+0+2+3</f>
        <v>9</v>
      </c>
      <c r="E21" s="3">
        <f>49+18+6+6+4</f>
        <v>83</v>
      </c>
      <c r="F21" s="4">
        <f t="shared" si="0"/>
        <v>7.5454545454545459</v>
      </c>
      <c r="J21" s="4" t="s">
        <v>45</v>
      </c>
      <c r="L21" s="3">
        <f>1+2</f>
        <v>3</v>
      </c>
    </row>
    <row r="22" spans="1:12" x14ac:dyDescent="0.25">
      <c r="A22" s="8" t="s">
        <v>63</v>
      </c>
      <c r="B22" s="3">
        <f>11+2</f>
        <v>13</v>
      </c>
      <c r="C22" s="3">
        <f>8</f>
        <v>8</v>
      </c>
      <c r="D22" s="3">
        <f>1</f>
        <v>1</v>
      </c>
      <c r="E22" s="3">
        <f>26</f>
        <v>26</v>
      </c>
      <c r="F22" s="4">
        <f t="shared" si="0"/>
        <v>3.7142857142857144</v>
      </c>
      <c r="H22" s="3">
        <f>2</f>
        <v>2</v>
      </c>
      <c r="I22" s="3">
        <f>225</f>
        <v>225</v>
      </c>
      <c r="J22" s="4">
        <f t="shared" ref="J22:J66" si="2">I22/H22</f>
        <v>112.5</v>
      </c>
      <c r="L22" s="3">
        <f>1</f>
        <v>1</v>
      </c>
    </row>
    <row r="23" spans="1:12" x14ac:dyDescent="0.25">
      <c r="A23" s="8" t="s">
        <v>64</v>
      </c>
      <c r="B23" s="3">
        <f>5+1</f>
        <v>6</v>
      </c>
      <c r="C23" s="3">
        <f>4</f>
        <v>4</v>
      </c>
      <c r="D23" s="3">
        <f>2</f>
        <v>2</v>
      </c>
      <c r="E23" s="3">
        <f>12</f>
        <v>12</v>
      </c>
      <c r="F23" s="4">
        <f t="shared" si="0"/>
        <v>6</v>
      </c>
      <c r="J23" s="4" t="s">
        <v>45</v>
      </c>
    </row>
    <row r="24" spans="1:12" x14ac:dyDescent="0.25">
      <c r="A24" s="8" t="s">
        <v>65</v>
      </c>
      <c r="B24" s="3">
        <f>5</f>
        <v>5</v>
      </c>
      <c r="C24" s="3">
        <f>5</f>
        <v>5</v>
      </c>
      <c r="D24" s="3">
        <f>0</f>
        <v>0</v>
      </c>
      <c r="E24" s="3">
        <f>11</f>
        <v>11</v>
      </c>
      <c r="F24" s="4">
        <f t="shared" si="0"/>
        <v>2.2000000000000002</v>
      </c>
      <c r="H24" s="3">
        <f>2</f>
        <v>2</v>
      </c>
      <c r="I24" s="3">
        <f>96</f>
        <v>96</v>
      </c>
      <c r="J24" s="4">
        <f t="shared" si="2"/>
        <v>48</v>
      </c>
      <c r="L24" s="3">
        <f>1</f>
        <v>1</v>
      </c>
    </row>
    <row r="25" spans="1:12" x14ac:dyDescent="0.25">
      <c r="A25" s="8" t="s">
        <v>66</v>
      </c>
      <c r="B25" s="3">
        <f>7</f>
        <v>7</v>
      </c>
      <c r="C25" s="3">
        <f>3</f>
        <v>3</v>
      </c>
      <c r="D25" s="3">
        <f>0</f>
        <v>0</v>
      </c>
      <c r="E25" s="3">
        <f>11</f>
        <v>11</v>
      </c>
      <c r="F25" s="4">
        <f t="shared" si="0"/>
        <v>3.6666666666666665</v>
      </c>
      <c r="H25" s="3">
        <f>8</f>
        <v>8</v>
      </c>
      <c r="I25" s="3">
        <f>0</f>
        <v>0</v>
      </c>
      <c r="J25" s="4">
        <f t="shared" si="2"/>
        <v>0</v>
      </c>
    </row>
    <row r="26" spans="1:12" x14ac:dyDescent="0.25">
      <c r="A26" s="8" t="s">
        <v>67</v>
      </c>
      <c r="B26" s="3">
        <f>10</f>
        <v>10</v>
      </c>
      <c r="C26" s="3">
        <f>7</f>
        <v>7</v>
      </c>
      <c r="D26" s="3">
        <f>3</f>
        <v>3</v>
      </c>
      <c r="E26" s="3">
        <f>9</f>
        <v>9</v>
      </c>
      <c r="F26" s="4">
        <f t="shared" si="0"/>
        <v>2.25</v>
      </c>
      <c r="H26" s="3">
        <f>3</f>
        <v>3</v>
      </c>
      <c r="I26" s="3">
        <f>140</f>
        <v>140</v>
      </c>
      <c r="J26" s="4">
        <f t="shared" si="2"/>
        <v>46.666666666666664</v>
      </c>
    </row>
    <row r="27" spans="1:12" x14ac:dyDescent="0.25">
      <c r="A27" s="8" t="s">
        <v>68</v>
      </c>
      <c r="B27" s="3">
        <f>6+9</f>
        <v>15</v>
      </c>
      <c r="C27" s="3">
        <f>5+2</f>
        <v>7</v>
      </c>
      <c r="D27" s="3">
        <f>0+2</f>
        <v>2</v>
      </c>
      <c r="E27" s="3">
        <f>7+2</f>
        <v>9</v>
      </c>
      <c r="F27" s="4">
        <f t="shared" si="0"/>
        <v>1.8</v>
      </c>
      <c r="J27" s="4" t="s">
        <v>45</v>
      </c>
      <c r="L27" s="3">
        <f>1</f>
        <v>1</v>
      </c>
    </row>
    <row r="28" spans="1:12" x14ac:dyDescent="0.25">
      <c r="A28" s="8" t="s">
        <v>69</v>
      </c>
      <c r="B28" s="3">
        <f>4</f>
        <v>4</v>
      </c>
      <c r="C28" s="3">
        <f>3</f>
        <v>3</v>
      </c>
      <c r="D28" s="3">
        <f>0</f>
        <v>0</v>
      </c>
      <c r="E28" s="3">
        <f>6</f>
        <v>6</v>
      </c>
      <c r="F28" s="4">
        <f t="shared" si="0"/>
        <v>2</v>
      </c>
      <c r="J28" s="4" t="s">
        <v>45</v>
      </c>
    </row>
    <row r="29" spans="1:12" x14ac:dyDescent="0.25">
      <c r="A29" s="8" t="s">
        <v>70</v>
      </c>
      <c r="B29" s="3">
        <f>5+1+3+3</f>
        <v>12</v>
      </c>
      <c r="C29" s="3">
        <f>2</f>
        <v>2</v>
      </c>
      <c r="D29" s="3">
        <f>1</f>
        <v>1</v>
      </c>
      <c r="E29" s="3">
        <f>5</f>
        <v>5</v>
      </c>
      <c r="F29" s="4">
        <f t="shared" si="0"/>
        <v>5</v>
      </c>
      <c r="H29" s="3">
        <f>0+0</f>
        <v>0</v>
      </c>
      <c r="I29" s="3">
        <f>36+8</f>
        <v>44</v>
      </c>
      <c r="J29" s="4" t="e">
        <f t="shared" si="2"/>
        <v>#DIV/0!</v>
      </c>
    </row>
    <row r="30" spans="1:12" x14ac:dyDescent="0.25">
      <c r="A30" s="8" t="s">
        <v>71</v>
      </c>
      <c r="B30" s="3">
        <f>1</f>
        <v>1</v>
      </c>
      <c r="C30" s="3">
        <f>1</f>
        <v>1</v>
      </c>
      <c r="D30" s="3">
        <f>1</f>
        <v>1</v>
      </c>
      <c r="E30" s="3">
        <f>5</f>
        <v>5</v>
      </c>
      <c r="F30" s="4" t="e">
        <f t="shared" si="0"/>
        <v>#DIV/0!</v>
      </c>
      <c r="H30" s="3">
        <f>0</f>
        <v>0</v>
      </c>
      <c r="I30" s="3">
        <f>9</f>
        <v>9</v>
      </c>
      <c r="J30" s="4" t="e">
        <f t="shared" si="2"/>
        <v>#DIV/0!</v>
      </c>
    </row>
    <row r="31" spans="1:12" x14ac:dyDescent="0.25">
      <c r="A31" s="8" t="s">
        <v>72</v>
      </c>
      <c r="B31" s="3">
        <f>10+2</f>
        <v>12</v>
      </c>
      <c r="C31" s="3">
        <f>5</f>
        <v>5</v>
      </c>
      <c r="D31" s="3">
        <f>0</f>
        <v>0</v>
      </c>
      <c r="E31" s="3">
        <f>4</f>
        <v>4</v>
      </c>
      <c r="F31" s="4">
        <f t="shared" si="0"/>
        <v>0.8</v>
      </c>
      <c r="H31" s="3">
        <f>1+0</f>
        <v>1</v>
      </c>
      <c r="I31" s="3">
        <f>153+10</f>
        <v>163</v>
      </c>
      <c r="J31" s="4">
        <f t="shared" si="2"/>
        <v>163</v>
      </c>
      <c r="L31" s="3">
        <f>1</f>
        <v>1</v>
      </c>
    </row>
    <row r="32" spans="1:12" x14ac:dyDescent="0.25">
      <c r="A32" s="8" t="s">
        <v>73</v>
      </c>
      <c r="B32" s="3">
        <f>5</f>
        <v>5</v>
      </c>
      <c r="C32" s="3">
        <f>4</f>
        <v>4</v>
      </c>
      <c r="D32" s="3">
        <f>0</f>
        <v>0</v>
      </c>
      <c r="E32" s="3">
        <f>3</f>
        <v>3</v>
      </c>
      <c r="F32" s="4">
        <f t="shared" si="0"/>
        <v>0.75</v>
      </c>
      <c r="H32" s="3">
        <f>0</f>
        <v>0</v>
      </c>
      <c r="I32" s="3">
        <f>22</f>
        <v>22</v>
      </c>
      <c r="J32" s="4" t="e">
        <f t="shared" si="2"/>
        <v>#DIV/0!</v>
      </c>
    </row>
    <row r="33" spans="1:13" x14ac:dyDescent="0.25">
      <c r="A33" s="8" t="s">
        <v>74</v>
      </c>
      <c r="B33" s="3">
        <f>7</f>
        <v>7</v>
      </c>
      <c r="C33" s="3">
        <f>2</f>
        <v>2</v>
      </c>
      <c r="D33" s="3">
        <f>1</f>
        <v>1</v>
      </c>
      <c r="E33" s="3">
        <f>1</f>
        <v>1</v>
      </c>
      <c r="F33" s="4">
        <f t="shared" si="0"/>
        <v>1</v>
      </c>
      <c r="H33" s="3">
        <f>1</f>
        <v>1</v>
      </c>
      <c r="I33" s="3">
        <f>48</f>
        <v>48</v>
      </c>
      <c r="J33" s="4">
        <f t="shared" si="2"/>
        <v>48</v>
      </c>
    </row>
    <row r="34" spans="1:13" x14ac:dyDescent="0.25">
      <c r="A34" s="8" t="s">
        <v>75</v>
      </c>
      <c r="B34" s="3">
        <f>4</f>
        <v>4</v>
      </c>
      <c r="C34" s="3">
        <f>3</f>
        <v>3</v>
      </c>
      <c r="D34" s="3">
        <f>0</f>
        <v>0</v>
      </c>
      <c r="E34" s="3">
        <f>1</f>
        <v>1</v>
      </c>
      <c r="F34" s="4">
        <f t="shared" si="0"/>
        <v>0.33333333333333331</v>
      </c>
      <c r="H34" s="3">
        <f>1</f>
        <v>1</v>
      </c>
      <c r="I34" s="3">
        <f>19</f>
        <v>19</v>
      </c>
      <c r="J34" s="4">
        <f t="shared" si="2"/>
        <v>19</v>
      </c>
    </row>
    <row r="35" spans="1:13" x14ac:dyDescent="0.25">
      <c r="A35" s="8" t="s">
        <v>76</v>
      </c>
      <c r="B35" s="3">
        <f>5+2</f>
        <v>7</v>
      </c>
      <c r="C35" s="3">
        <f>2+2</f>
        <v>4</v>
      </c>
      <c r="D35" s="3">
        <f>0+1</f>
        <v>1</v>
      </c>
      <c r="E35" s="3">
        <f>1+0</f>
        <v>1</v>
      </c>
      <c r="F35" s="4">
        <f t="shared" si="0"/>
        <v>0.33333333333333331</v>
      </c>
      <c r="H35" s="3">
        <f>0</f>
        <v>0</v>
      </c>
      <c r="I35" s="3">
        <f>15</f>
        <v>15</v>
      </c>
      <c r="J35" s="4" t="e">
        <f t="shared" si="2"/>
        <v>#DIV/0!</v>
      </c>
    </row>
    <row r="36" spans="1:13" x14ac:dyDescent="0.25">
      <c r="A36" s="8" t="s">
        <v>77</v>
      </c>
      <c r="B36" s="3">
        <f>6</f>
        <v>6</v>
      </c>
      <c r="C36" s="3">
        <f>6</f>
        <v>6</v>
      </c>
      <c r="D36" s="3">
        <f>2</f>
        <v>2</v>
      </c>
      <c r="E36" s="3">
        <f>17</f>
        <v>17</v>
      </c>
      <c r="F36" s="4">
        <f t="shared" si="0"/>
        <v>4.25</v>
      </c>
      <c r="H36" s="3">
        <f>9</f>
        <v>9</v>
      </c>
      <c r="I36" s="3">
        <f>111</f>
        <v>111</v>
      </c>
      <c r="J36" s="4">
        <f t="shared" si="2"/>
        <v>12.333333333333334</v>
      </c>
      <c r="L36" s="3">
        <f>1</f>
        <v>1</v>
      </c>
    </row>
    <row r="37" spans="1:13" x14ac:dyDescent="0.25">
      <c r="A37" s="8" t="s">
        <v>78</v>
      </c>
      <c r="B37" s="3">
        <f>6</f>
        <v>6</v>
      </c>
      <c r="C37" s="3">
        <f>4</f>
        <v>4</v>
      </c>
      <c r="D37" s="3">
        <f>1</f>
        <v>1</v>
      </c>
      <c r="E37" s="3">
        <f>15</f>
        <v>15</v>
      </c>
      <c r="F37" s="4">
        <f t="shared" si="0"/>
        <v>5</v>
      </c>
      <c r="H37" s="3">
        <f>0</f>
        <v>0</v>
      </c>
      <c r="I37" s="3">
        <f>4</f>
        <v>4</v>
      </c>
      <c r="J37" s="4" t="e">
        <f t="shared" si="2"/>
        <v>#DIV/0!</v>
      </c>
    </row>
    <row r="38" spans="1:13" x14ac:dyDescent="0.25">
      <c r="A38" s="8" t="s">
        <v>79</v>
      </c>
      <c r="B38" s="3">
        <f>4</f>
        <v>4</v>
      </c>
      <c r="C38" s="3">
        <f>4</f>
        <v>4</v>
      </c>
      <c r="D38" s="3">
        <f>0</f>
        <v>0</v>
      </c>
      <c r="E38" s="3">
        <f>15</f>
        <v>15</v>
      </c>
      <c r="F38" s="4">
        <f t="shared" si="0"/>
        <v>3.75</v>
      </c>
      <c r="H38" s="3">
        <f>0</f>
        <v>0</v>
      </c>
      <c r="I38" s="3">
        <f>21</f>
        <v>21</v>
      </c>
      <c r="J38" s="4" t="e">
        <f t="shared" si="2"/>
        <v>#DIV/0!</v>
      </c>
      <c r="L38" s="3">
        <f>1</f>
        <v>1</v>
      </c>
    </row>
    <row r="39" spans="1:13" x14ac:dyDescent="0.25">
      <c r="A39" s="8" t="s">
        <v>80</v>
      </c>
      <c r="B39" s="3">
        <f>5</f>
        <v>5</v>
      </c>
      <c r="C39" s="3">
        <f>3</f>
        <v>3</v>
      </c>
      <c r="D39" s="3">
        <f>1</f>
        <v>1</v>
      </c>
      <c r="E39" s="3">
        <f>7</f>
        <v>7</v>
      </c>
      <c r="F39" s="4">
        <f t="shared" si="0"/>
        <v>3.5</v>
      </c>
      <c r="J39" s="4" t="s">
        <v>45</v>
      </c>
    </row>
    <row r="40" spans="1:13" x14ac:dyDescent="0.25">
      <c r="A40" s="8" t="s">
        <v>81</v>
      </c>
      <c r="B40" s="3">
        <f>9+2+11+5+13+11</f>
        <v>51</v>
      </c>
      <c r="C40" s="3">
        <f>9+2+11+5+11+10</f>
        <v>48</v>
      </c>
      <c r="D40" s="3">
        <f>2+1+3+0+4+1</f>
        <v>11</v>
      </c>
      <c r="E40" s="3">
        <f>210+25+206+85+245+171</f>
        <v>942</v>
      </c>
      <c r="F40" s="4">
        <f t="shared" si="0"/>
        <v>25.45945945945946</v>
      </c>
      <c r="H40" s="3">
        <f>6+0+8+6+8+3</f>
        <v>31</v>
      </c>
      <c r="I40" s="3">
        <f>138+14+153+53+183+108</f>
        <v>649</v>
      </c>
      <c r="J40" s="4">
        <f t="shared" si="2"/>
        <v>20.93548387096774</v>
      </c>
      <c r="L40" s="3">
        <f>3+1+3+1+1</f>
        <v>9</v>
      </c>
    </row>
    <row r="41" spans="1:13" x14ac:dyDescent="0.25">
      <c r="A41" s="8" t="s">
        <v>87</v>
      </c>
      <c r="B41" s="3">
        <f>8+4+10+5+8+3+4</f>
        <v>42</v>
      </c>
      <c r="C41" s="3">
        <f>8+3+10+5+7+3+3</f>
        <v>39</v>
      </c>
      <c r="D41" s="3">
        <f>1+1+0+0+1+1+1</f>
        <v>5</v>
      </c>
      <c r="E41" s="3">
        <f>115+62+32+92+46+82+63</f>
        <v>492</v>
      </c>
      <c r="F41" s="4">
        <f t="shared" si="0"/>
        <v>14.470588235294118</v>
      </c>
      <c r="H41" s="3">
        <f>1+1</f>
        <v>2</v>
      </c>
      <c r="I41" s="3">
        <f>8+17</f>
        <v>25</v>
      </c>
      <c r="J41" s="4">
        <f t="shared" si="2"/>
        <v>12.5</v>
      </c>
      <c r="L41" s="3">
        <f>2+2+4+3+2</f>
        <v>13</v>
      </c>
      <c r="M41" s="3">
        <f>2</f>
        <v>2</v>
      </c>
    </row>
    <row r="42" spans="1:13" x14ac:dyDescent="0.25">
      <c r="A42" s="8" t="s">
        <v>82</v>
      </c>
      <c r="B42" s="3">
        <f>9+4+11+5+8+12+8</f>
        <v>57</v>
      </c>
      <c r="C42" s="3">
        <f>6+2+6+6+8+8+5</f>
        <v>41</v>
      </c>
      <c r="D42" s="3">
        <f>2+1+3+1+1+2+1</f>
        <v>11</v>
      </c>
      <c r="E42" s="3">
        <f>79+18+40+10+108+38+27</f>
        <v>320</v>
      </c>
      <c r="F42" s="4">
        <f t="shared" si="0"/>
        <v>10.666666666666666</v>
      </c>
      <c r="H42" s="3">
        <f>9+7+11+8+4+10+8</f>
        <v>57</v>
      </c>
      <c r="I42" s="3">
        <f>100+33+176+74+131+121+148</f>
        <v>783</v>
      </c>
      <c r="J42" s="4">
        <f t="shared" si="2"/>
        <v>13.736842105263158</v>
      </c>
      <c r="L42" s="3">
        <f>8+7+5+2+8+1</f>
        <v>31</v>
      </c>
    </row>
    <row r="43" spans="1:13" x14ac:dyDescent="0.25">
      <c r="A43" s="8" t="s">
        <v>83</v>
      </c>
      <c r="B43" s="3">
        <f>8+4+1+2</f>
        <v>15</v>
      </c>
      <c r="C43" s="3">
        <f>5+3+1</f>
        <v>9</v>
      </c>
      <c r="D43" s="3">
        <f>3+1+0</f>
        <v>4</v>
      </c>
      <c r="E43" s="3">
        <f>58+14+0</f>
        <v>72</v>
      </c>
      <c r="F43" s="4">
        <f t="shared" si="0"/>
        <v>14.4</v>
      </c>
      <c r="H43" s="3">
        <f>5+2+1+0</f>
        <v>8</v>
      </c>
      <c r="I43" s="3">
        <f>164+35+8+11</f>
        <v>218</v>
      </c>
      <c r="J43" s="4">
        <f t="shared" si="2"/>
        <v>27.25</v>
      </c>
      <c r="L43" s="3">
        <f>2+2</f>
        <v>4</v>
      </c>
    </row>
    <row r="44" spans="1:13" x14ac:dyDescent="0.25">
      <c r="A44" s="8" t="s">
        <v>84</v>
      </c>
      <c r="B44" s="3">
        <f>8+4+10</f>
        <v>22</v>
      </c>
      <c r="C44" s="3">
        <f>7+2+4</f>
        <v>13</v>
      </c>
      <c r="D44" s="3">
        <f>1+1+1</f>
        <v>3</v>
      </c>
      <c r="E44" s="3">
        <f>54+2+25</f>
        <v>81</v>
      </c>
      <c r="F44" s="4">
        <f t="shared" si="0"/>
        <v>8.1</v>
      </c>
      <c r="H44" s="3">
        <f>9+3+13</f>
        <v>25</v>
      </c>
      <c r="I44" s="3">
        <f>111+27+150</f>
        <v>288</v>
      </c>
      <c r="J44" s="4">
        <f t="shared" si="2"/>
        <v>11.52</v>
      </c>
      <c r="L44" s="3">
        <f>4+5</f>
        <v>9</v>
      </c>
    </row>
    <row r="45" spans="1:13" x14ac:dyDescent="0.25">
      <c r="A45" s="8" t="s">
        <v>99</v>
      </c>
      <c r="B45" s="3">
        <f>7+3+10+5+7+3+12+11</f>
        <v>58</v>
      </c>
      <c r="C45" s="3">
        <f>7+2+9+5+6+3+10+11</f>
        <v>53</v>
      </c>
      <c r="D45" s="3">
        <f>2+1+2+1+3+0+1+2</f>
        <v>12</v>
      </c>
      <c r="E45" s="3">
        <f>41+16+68+46+113+41+149+170</f>
        <v>644</v>
      </c>
      <c r="F45" s="4">
        <f t="shared" si="0"/>
        <v>15.707317073170731</v>
      </c>
      <c r="H45" s="3">
        <f>9+2+7+6+1+2+2+7</f>
        <v>36</v>
      </c>
      <c r="I45" s="3">
        <f>110+37+185+101+90+72+103+112</f>
        <v>810</v>
      </c>
      <c r="J45" s="4">
        <f t="shared" si="2"/>
        <v>22.5</v>
      </c>
      <c r="L45" s="3">
        <f>3+1+2+1+6+5</f>
        <v>18</v>
      </c>
      <c r="M45" s="3">
        <f>1</f>
        <v>1</v>
      </c>
    </row>
    <row r="46" spans="1:13" x14ac:dyDescent="0.25">
      <c r="A46" s="8" t="s">
        <v>85</v>
      </c>
      <c r="B46" s="3">
        <f>9+2+10+5+8+3+13+10</f>
        <v>60</v>
      </c>
      <c r="C46" s="3">
        <f>5+1+7+5+8+2+8+10</f>
        <v>46</v>
      </c>
      <c r="D46" s="3">
        <f>1+0+3+1+0+0+2+1</f>
        <v>8</v>
      </c>
      <c r="E46" s="3">
        <f>35+3+41+37+34+6+38+6</f>
        <v>200</v>
      </c>
      <c r="F46" s="4">
        <f t="shared" si="0"/>
        <v>5.2631578947368425</v>
      </c>
      <c r="H46" s="3">
        <f>5+1+5+5+2+4+16+6</f>
        <v>44</v>
      </c>
      <c r="I46" s="3">
        <f>100+23+107+77+145+78+208+191</f>
        <v>929</v>
      </c>
      <c r="J46" s="4">
        <f t="shared" si="2"/>
        <v>21.113636363636363</v>
      </c>
      <c r="L46" s="3">
        <f>2+2+3</f>
        <v>7</v>
      </c>
    </row>
    <row r="47" spans="1:13" x14ac:dyDescent="0.25">
      <c r="A47" s="8" t="s">
        <v>86</v>
      </c>
      <c r="B47" s="3">
        <f>2</f>
        <v>2</v>
      </c>
      <c r="C47" s="3">
        <f>1</f>
        <v>1</v>
      </c>
      <c r="D47" s="3">
        <f>1</f>
        <v>1</v>
      </c>
      <c r="E47" s="3">
        <f>0</f>
        <v>0</v>
      </c>
      <c r="F47" s="4" t="e">
        <f>E47/(C47-D47)</f>
        <v>#DIV/0!</v>
      </c>
      <c r="J47" s="4" t="s">
        <v>45</v>
      </c>
    </row>
    <row r="48" spans="1:13" x14ac:dyDescent="0.25">
      <c r="A48" s="8" t="s">
        <v>88</v>
      </c>
      <c r="B48" s="3">
        <f>1+9+5+8+2+14</f>
        <v>39</v>
      </c>
      <c r="C48" s="3">
        <f>2+1+8+2+12</f>
        <v>25</v>
      </c>
      <c r="D48" s="3">
        <f>1+1+1+2+6</f>
        <v>11</v>
      </c>
      <c r="E48" s="3">
        <f>0+2+34+3+121</f>
        <v>160</v>
      </c>
      <c r="F48" s="4">
        <f t="shared" ref="F48:F66" si="3">E48/(C48-D48)</f>
        <v>11.428571428571429</v>
      </c>
      <c r="H48" s="3">
        <f>0+1+6+2+5</f>
        <v>14</v>
      </c>
      <c r="I48" s="3">
        <f>32+15+150+56+223</f>
        <v>476</v>
      </c>
      <c r="J48" s="4">
        <f t="shared" si="2"/>
        <v>34</v>
      </c>
      <c r="L48" s="3">
        <f>1+1+1</f>
        <v>3</v>
      </c>
    </row>
    <row r="49" spans="1:12" x14ac:dyDescent="0.25">
      <c r="A49" s="8" t="s">
        <v>89</v>
      </c>
      <c r="B49" s="3">
        <f>2</f>
        <v>2</v>
      </c>
      <c r="C49" s="3">
        <f>1</f>
        <v>1</v>
      </c>
      <c r="D49" s="3">
        <f>1</f>
        <v>1</v>
      </c>
      <c r="E49" s="3">
        <f>10</f>
        <v>10</v>
      </c>
      <c r="F49" s="4" t="e">
        <f t="shared" si="3"/>
        <v>#DIV/0!</v>
      </c>
      <c r="H49" s="3">
        <f>1</f>
        <v>1</v>
      </c>
      <c r="I49" s="3">
        <f>13</f>
        <v>13</v>
      </c>
      <c r="J49" s="4">
        <f t="shared" si="2"/>
        <v>13</v>
      </c>
    </row>
    <row r="50" spans="1:12" x14ac:dyDescent="0.25">
      <c r="A50" s="8" t="s">
        <v>90</v>
      </c>
      <c r="B50" s="3">
        <f>1</f>
        <v>1</v>
      </c>
      <c r="C50" s="3">
        <f>1</f>
        <v>1</v>
      </c>
      <c r="D50" s="3">
        <f>0</f>
        <v>0</v>
      </c>
      <c r="E50" s="3">
        <f>3</f>
        <v>3</v>
      </c>
      <c r="F50" s="4">
        <f t="shared" si="3"/>
        <v>3</v>
      </c>
      <c r="H50" s="3">
        <f>0</f>
        <v>0</v>
      </c>
      <c r="I50" s="3">
        <f>15</f>
        <v>15</v>
      </c>
      <c r="J50" s="4" t="e">
        <f t="shared" si="2"/>
        <v>#DIV/0!</v>
      </c>
    </row>
    <row r="51" spans="1:12" x14ac:dyDescent="0.25">
      <c r="A51" s="8" t="s">
        <v>91</v>
      </c>
      <c r="B51" s="3">
        <f>7</f>
        <v>7</v>
      </c>
      <c r="C51" s="3">
        <f>1</f>
        <v>1</v>
      </c>
      <c r="D51" s="3">
        <f>0</f>
        <v>0</v>
      </c>
      <c r="E51" s="3">
        <f>2</f>
        <v>2</v>
      </c>
      <c r="F51" s="4">
        <f t="shared" si="3"/>
        <v>2</v>
      </c>
      <c r="H51" s="3">
        <f>0+0</f>
        <v>0</v>
      </c>
      <c r="I51" s="3">
        <f>15+9</f>
        <v>24</v>
      </c>
      <c r="J51" s="4" t="e">
        <f t="shared" si="2"/>
        <v>#DIV/0!</v>
      </c>
      <c r="L51" s="3">
        <f>3</f>
        <v>3</v>
      </c>
    </row>
    <row r="52" spans="1:12" x14ac:dyDescent="0.25">
      <c r="A52" s="8" t="s">
        <v>92</v>
      </c>
      <c r="B52" s="3">
        <f>6+3</f>
        <v>9</v>
      </c>
      <c r="C52" s="3">
        <f>5+2</f>
        <v>7</v>
      </c>
      <c r="D52" s="3">
        <f>1+0</f>
        <v>1</v>
      </c>
      <c r="E52" s="3">
        <f>64+2</f>
        <v>66</v>
      </c>
      <c r="F52" s="4">
        <f t="shared" si="3"/>
        <v>11</v>
      </c>
      <c r="H52" s="3">
        <f>2+0</f>
        <v>2</v>
      </c>
      <c r="I52" s="3">
        <f>10+22</f>
        <v>32</v>
      </c>
      <c r="J52" s="4">
        <f t="shared" si="2"/>
        <v>16</v>
      </c>
      <c r="L52" s="3">
        <f>1</f>
        <v>1</v>
      </c>
    </row>
    <row r="53" spans="1:12" x14ac:dyDescent="0.25">
      <c r="A53" s="8" t="s">
        <v>93</v>
      </c>
      <c r="B53" s="3">
        <f>7+14+10</f>
        <v>31</v>
      </c>
      <c r="C53" s="3">
        <f>6+6+9</f>
        <v>21</v>
      </c>
      <c r="D53" s="3">
        <f>3+1+0</f>
        <v>4</v>
      </c>
      <c r="E53" s="3">
        <f>14+17+42</f>
        <v>73</v>
      </c>
      <c r="F53" s="4">
        <f t="shared" si="3"/>
        <v>4.2941176470588234</v>
      </c>
      <c r="H53" s="3">
        <f>5+7+4</f>
        <v>16</v>
      </c>
      <c r="I53" s="3">
        <f>96+183+138</f>
        <v>417</v>
      </c>
      <c r="J53" s="4">
        <f t="shared" si="2"/>
        <v>26.0625</v>
      </c>
      <c r="L53" s="3">
        <f>3+3</f>
        <v>6</v>
      </c>
    </row>
    <row r="54" spans="1:12" x14ac:dyDescent="0.25">
      <c r="A54" s="8" t="s">
        <v>94</v>
      </c>
      <c r="B54" s="3">
        <f>6+13+9</f>
        <v>28</v>
      </c>
      <c r="C54" s="3">
        <f>4+2+5</f>
        <v>11</v>
      </c>
      <c r="D54" s="3">
        <f>2+2+3</f>
        <v>7</v>
      </c>
      <c r="E54" s="3">
        <f>8+4+12</f>
        <v>24</v>
      </c>
      <c r="F54" s="4">
        <f t="shared" si="3"/>
        <v>6</v>
      </c>
      <c r="H54" s="3">
        <f>3+1+3+0</f>
        <v>7</v>
      </c>
      <c r="I54" s="3">
        <f>50+17+111+12</f>
        <v>190</v>
      </c>
      <c r="J54" s="4">
        <f t="shared" si="2"/>
        <v>27.142857142857142</v>
      </c>
    </row>
    <row r="55" spans="1:12" x14ac:dyDescent="0.25">
      <c r="A55" s="8" t="s">
        <v>95</v>
      </c>
      <c r="B55" s="3">
        <f>6+2+7+8</f>
        <v>23</v>
      </c>
      <c r="C55" s="3">
        <f>1+1+5</f>
        <v>7</v>
      </c>
      <c r="D55" s="3">
        <f>0+1+1</f>
        <v>2</v>
      </c>
      <c r="E55" s="3">
        <f>5+1+9</f>
        <v>15</v>
      </c>
      <c r="F55" s="4">
        <f t="shared" si="3"/>
        <v>3</v>
      </c>
      <c r="H55" s="3">
        <f>0+0+6+2</f>
        <v>8</v>
      </c>
      <c r="I55" s="3">
        <f>56+48+55+96</f>
        <v>255</v>
      </c>
      <c r="J55" s="4">
        <f t="shared" si="2"/>
        <v>31.875</v>
      </c>
      <c r="L55" s="3">
        <f>1</f>
        <v>1</v>
      </c>
    </row>
    <row r="56" spans="1:12" x14ac:dyDescent="0.25">
      <c r="A56" s="8" t="s">
        <v>96</v>
      </c>
      <c r="B56" s="3">
        <f>2+3</f>
        <v>5</v>
      </c>
      <c r="C56" s="3">
        <f>2+1</f>
        <v>3</v>
      </c>
      <c r="D56" s="3">
        <f>1+0</f>
        <v>1</v>
      </c>
      <c r="E56" s="3">
        <f>2+0</f>
        <v>2</v>
      </c>
      <c r="F56" s="4">
        <f t="shared" si="3"/>
        <v>1</v>
      </c>
      <c r="J56" s="4" t="s">
        <v>45</v>
      </c>
    </row>
    <row r="57" spans="1:12" x14ac:dyDescent="0.25">
      <c r="A57" s="8" t="s">
        <v>97</v>
      </c>
      <c r="B57" s="3">
        <f>2</f>
        <v>2</v>
      </c>
      <c r="C57" s="3">
        <f>1</f>
        <v>1</v>
      </c>
      <c r="D57" s="3">
        <f>1</f>
        <v>1</v>
      </c>
      <c r="E57" s="3">
        <f>0</f>
        <v>0</v>
      </c>
      <c r="F57" s="4" t="e">
        <f t="shared" si="3"/>
        <v>#DIV/0!</v>
      </c>
      <c r="J57" s="4" t="s">
        <v>45</v>
      </c>
    </row>
    <row r="58" spans="1:12" x14ac:dyDescent="0.25">
      <c r="A58" s="8" t="s">
        <v>98</v>
      </c>
      <c r="B58" s="3">
        <f>4+13+12</f>
        <v>29</v>
      </c>
      <c r="C58" s="3">
        <f>8+9</f>
        <v>17</v>
      </c>
      <c r="D58" s="3">
        <f>1+3</f>
        <v>4</v>
      </c>
      <c r="E58" s="3">
        <f>60+25</f>
        <v>85</v>
      </c>
      <c r="F58" s="4">
        <f t="shared" si="3"/>
        <v>6.5384615384615383</v>
      </c>
      <c r="H58" s="3">
        <f>0+1+2</f>
        <v>3</v>
      </c>
      <c r="I58" s="3">
        <f>3+47+76</f>
        <v>126</v>
      </c>
      <c r="J58" s="4">
        <f t="shared" si="2"/>
        <v>42</v>
      </c>
      <c r="L58" s="3">
        <f>1+3</f>
        <v>4</v>
      </c>
    </row>
    <row r="59" spans="1:12" x14ac:dyDescent="0.25">
      <c r="A59" s="8" t="s">
        <v>100</v>
      </c>
      <c r="B59" s="3">
        <f>12</f>
        <v>12</v>
      </c>
      <c r="C59" s="3">
        <f>3</f>
        <v>3</v>
      </c>
      <c r="D59" s="3">
        <f>2</f>
        <v>2</v>
      </c>
      <c r="E59" s="3">
        <f>5</f>
        <v>5</v>
      </c>
      <c r="F59" s="4">
        <f t="shared" si="3"/>
        <v>5</v>
      </c>
      <c r="J59" s="4" t="s">
        <v>45</v>
      </c>
    </row>
    <row r="60" spans="1:12" x14ac:dyDescent="0.25">
      <c r="A60" s="8" t="s">
        <v>101</v>
      </c>
      <c r="B60" s="3">
        <f>1+1</f>
        <v>2</v>
      </c>
      <c r="C60" s="3">
        <f>1</f>
        <v>1</v>
      </c>
      <c r="D60" s="3">
        <f>0</f>
        <v>0</v>
      </c>
      <c r="E60" s="3">
        <f>0</f>
        <v>0</v>
      </c>
      <c r="F60" s="4">
        <f t="shared" si="3"/>
        <v>0</v>
      </c>
      <c r="J60" s="4" t="s">
        <v>45</v>
      </c>
    </row>
    <row r="61" spans="1:12" x14ac:dyDescent="0.25">
      <c r="A61" s="8" t="s">
        <v>102</v>
      </c>
      <c r="B61" s="3">
        <f>6+12</f>
        <v>18</v>
      </c>
      <c r="C61" s="3">
        <f>0+4</f>
        <v>4</v>
      </c>
      <c r="D61" s="3">
        <f>0+2</f>
        <v>2</v>
      </c>
      <c r="E61" s="3">
        <f>0+0</f>
        <v>0</v>
      </c>
      <c r="F61" s="4">
        <f t="shared" si="3"/>
        <v>0</v>
      </c>
      <c r="H61" s="3">
        <f>1+1</f>
        <v>2</v>
      </c>
      <c r="I61" s="3">
        <f>32+116</f>
        <v>148</v>
      </c>
      <c r="J61" s="4">
        <f t="shared" si="2"/>
        <v>74</v>
      </c>
      <c r="L61" s="3">
        <f>2+1</f>
        <v>3</v>
      </c>
    </row>
    <row r="62" spans="1:12" x14ac:dyDescent="0.25">
      <c r="A62" s="8" t="s">
        <v>103</v>
      </c>
      <c r="B62" s="3">
        <f>4+1</f>
        <v>5</v>
      </c>
      <c r="C62" s="3">
        <f>1</f>
        <v>1</v>
      </c>
      <c r="D62" s="3">
        <f>0</f>
        <v>0</v>
      </c>
      <c r="E62" s="3">
        <f>0</f>
        <v>0</v>
      </c>
      <c r="F62" s="4">
        <f t="shared" si="3"/>
        <v>0</v>
      </c>
      <c r="H62" s="3">
        <f>0</f>
        <v>0</v>
      </c>
      <c r="I62" s="3">
        <f>7</f>
        <v>7</v>
      </c>
      <c r="J62" s="4" t="e">
        <f t="shared" si="2"/>
        <v>#DIV/0!</v>
      </c>
    </row>
    <row r="63" spans="1:12" x14ac:dyDescent="0.25">
      <c r="A63" s="8" t="s">
        <v>105</v>
      </c>
      <c r="B63" s="3">
        <f>10</f>
        <v>10</v>
      </c>
      <c r="C63" s="3">
        <f>8</f>
        <v>8</v>
      </c>
      <c r="D63" s="3">
        <f>0</f>
        <v>0</v>
      </c>
      <c r="E63" s="3">
        <f>66</f>
        <v>66</v>
      </c>
      <c r="F63" s="4">
        <f t="shared" si="3"/>
        <v>8.25</v>
      </c>
      <c r="H63" s="3">
        <f>8</f>
        <v>8</v>
      </c>
      <c r="I63" s="3">
        <f>139</f>
        <v>139</v>
      </c>
      <c r="J63" s="4">
        <f t="shared" si="2"/>
        <v>17.375</v>
      </c>
      <c r="L63" s="3">
        <f>2</f>
        <v>2</v>
      </c>
    </row>
    <row r="64" spans="1:12" x14ac:dyDescent="0.25">
      <c r="A64" s="8" t="s">
        <v>106</v>
      </c>
      <c r="B64" s="3">
        <f>12</f>
        <v>12</v>
      </c>
      <c r="C64" s="3">
        <f>9</f>
        <v>9</v>
      </c>
      <c r="D64" s="3">
        <f>4</f>
        <v>4</v>
      </c>
      <c r="E64" s="3">
        <f>27</f>
        <v>27</v>
      </c>
      <c r="F64" s="4">
        <f t="shared" si="3"/>
        <v>5.4</v>
      </c>
      <c r="H64" s="3">
        <f>4</f>
        <v>4</v>
      </c>
      <c r="I64" s="3">
        <f>78</f>
        <v>78</v>
      </c>
      <c r="J64" s="4">
        <f t="shared" si="2"/>
        <v>19.5</v>
      </c>
      <c r="L64" s="3">
        <f>1</f>
        <v>1</v>
      </c>
    </row>
    <row r="65" spans="1:10" x14ac:dyDescent="0.25">
      <c r="A65" s="8" t="s">
        <v>107</v>
      </c>
      <c r="B65" s="3">
        <f>4</f>
        <v>4</v>
      </c>
      <c r="F65" s="4"/>
    </row>
    <row r="66" spans="1:10" x14ac:dyDescent="0.25">
      <c r="A66" s="8" t="s">
        <v>108</v>
      </c>
      <c r="B66" s="3">
        <f>2</f>
        <v>2</v>
      </c>
      <c r="C66" s="3">
        <f>2</f>
        <v>2</v>
      </c>
      <c r="D66" s="3">
        <f>1</f>
        <v>1</v>
      </c>
      <c r="E66" s="3">
        <f>8</f>
        <v>8</v>
      </c>
      <c r="F66" s="4">
        <f t="shared" si="3"/>
        <v>8</v>
      </c>
      <c r="H66" s="3">
        <f>0</f>
        <v>0</v>
      </c>
      <c r="I66" s="3">
        <f>38</f>
        <v>38</v>
      </c>
      <c r="J66" s="4" t="e">
        <f t="shared" si="2"/>
        <v>#DIV/0!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Bradley Cole</cp:lastModifiedBy>
  <cp:lastPrinted>2013-04-13T00:01:52Z</cp:lastPrinted>
  <dcterms:created xsi:type="dcterms:W3CDTF">2013-04-12T23:50:01Z</dcterms:created>
  <dcterms:modified xsi:type="dcterms:W3CDTF">2024-06-11T11:24:49Z</dcterms:modified>
</cp:coreProperties>
</file>