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76b30b9d5fd49d/Documents/Devonport Orions CC/Stats/"/>
    </mc:Choice>
  </mc:AlternateContent>
  <xr:revisionPtr revIDLastSave="160" documentId="8_{9F690CB6-038D-4CC1-90AE-E13CCAC93344}" xr6:coauthVersionLast="47" xr6:coauthVersionMax="47" xr10:uidLastSave="{DD1BF06B-A8F7-4D8E-B917-AE82597B6215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Sheet1!$A$1:$J$314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71" i="1"/>
  <c r="I20" i="1"/>
  <c r="I80" i="1"/>
  <c r="I84" i="1"/>
  <c r="I234" i="1"/>
  <c r="J49" i="1"/>
  <c r="I49" i="1"/>
  <c r="I103" i="1"/>
  <c r="H103" i="1"/>
  <c r="G103" i="1"/>
  <c r="F103" i="1"/>
  <c r="I284" i="1"/>
  <c r="G284" i="1"/>
  <c r="F284" i="1"/>
  <c r="I3" i="1"/>
  <c r="G3" i="1"/>
  <c r="F3" i="1"/>
  <c r="G164" i="1"/>
  <c r="F164" i="1"/>
  <c r="G276" i="1"/>
  <c r="F276" i="1"/>
  <c r="B276" i="1"/>
  <c r="C276" i="1"/>
  <c r="I225" i="1"/>
  <c r="G225" i="1"/>
  <c r="F225" i="1"/>
  <c r="H136" i="1"/>
  <c r="I136" i="1"/>
  <c r="G136" i="1"/>
  <c r="F136" i="1"/>
  <c r="G50" i="1"/>
  <c r="F50" i="1"/>
  <c r="I263" i="1"/>
  <c r="G263" i="1"/>
  <c r="F263" i="1"/>
  <c r="I100" i="1"/>
  <c r="G100" i="1"/>
  <c r="F100" i="1"/>
  <c r="I24" i="1"/>
  <c r="G24" i="1"/>
  <c r="F24" i="1"/>
  <c r="I211" i="1"/>
  <c r="G211" i="1"/>
  <c r="F211" i="1"/>
  <c r="D164" i="1"/>
  <c r="C164" i="1"/>
  <c r="B164" i="1"/>
  <c r="D276" i="1"/>
  <c r="D3" i="1"/>
  <c r="C3" i="1"/>
  <c r="B3" i="1"/>
  <c r="D50" i="1"/>
  <c r="C50" i="1"/>
  <c r="B50" i="1"/>
  <c r="E103" i="1"/>
  <c r="D103" i="1"/>
  <c r="C103" i="1"/>
  <c r="B103" i="1"/>
  <c r="D20" i="1"/>
  <c r="C20" i="1"/>
  <c r="B20" i="1"/>
  <c r="D84" i="1"/>
  <c r="C84" i="1"/>
  <c r="E84" i="1" s="1"/>
  <c r="B84" i="1"/>
  <c r="D18" i="1"/>
  <c r="C18" i="1"/>
  <c r="B18" i="1"/>
  <c r="D24" i="1"/>
  <c r="C24" i="1"/>
  <c r="B24" i="1"/>
  <c r="D100" i="1"/>
  <c r="C100" i="1"/>
  <c r="B100" i="1"/>
  <c r="D76" i="1"/>
  <c r="C76" i="1"/>
  <c r="B76" i="1"/>
  <c r="D71" i="1"/>
  <c r="C71" i="1"/>
  <c r="B71" i="1"/>
  <c r="D225" i="1"/>
  <c r="C225" i="1"/>
  <c r="B225" i="1"/>
  <c r="D284" i="1"/>
  <c r="C284" i="1"/>
  <c r="B284" i="1"/>
  <c r="D234" i="1"/>
  <c r="C234" i="1"/>
  <c r="B234" i="1"/>
  <c r="D211" i="1"/>
  <c r="C211" i="1"/>
  <c r="B211" i="1"/>
  <c r="D49" i="1"/>
  <c r="C49" i="1"/>
  <c r="B49" i="1"/>
  <c r="D136" i="1"/>
  <c r="C136" i="1"/>
  <c r="B136" i="1"/>
  <c r="D263" i="1"/>
  <c r="C263" i="1"/>
  <c r="B263" i="1"/>
  <c r="C80" i="1"/>
  <c r="D80" i="1"/>
  <c r="B80" i="1"/>
  <c r="E18" i="1" l="1"/>
  <c r="E76" i="1"/>
  <c r="E136" i="1"/>
  <c r="G5" i="1"/>
  <c r="H5" i="1" s="1"/>
  <c r="D5" i="1"/>
  <c r="E5" i="1" s="1"/>
  <c r="I191" i="1"/>
  <c r="D191" i="1"/>
  <c r="C191" i="1"/>
  <c r="B191" i="1"/>
  <c r="G234" i="1"/>
  <c r="F234" i="1"/>
  <c r="G106" i="1"/>
  <c r="F106" i="1"/>
  <c r="D106" i="1"/>
  <c r="C106" i="1"/>
  <c r="B106" i="1"/>
  <c r="E50" i="1"/>
  <c r="I276" i="1"/>
  <c r="I164" i="1"/>
  <c r="J212" i="1"/>
  <c r="I212" i="1"/>
  <c r="I106" i="1"/>
  <c r="I16" i="1"/>
  <c r="I119" i="1"/>
  <c r="I2" i="1"/>
  <c r="I158" i="1"/>
  <c r="I70" i="1"/>
  <c r="J80" i="1"/>
  <c r="G80" i="1"/>
  <c r="G82" i="1"/>
  <c r="F82" i="1"/>
  <c r="H82" i="1" s="1"/>
  <c r="G191" i="1"/>
  <c r="F191" i="1"/>
  <c r="G70" i="1"/>
  <c r="F70" i="1"/>
  <c r="G2" i="1"/>
  <c r="F2" i="1"/>
  <c r="H2" i="1" s="1"/>
  <c r="D82" i="1"/>
  <c r="E82" i="1" s="1"/>
  <c r="B82" i="1"/>
  <c r="D119" i="1"/>
  <c r="C119" i="1"/>
  <c r="B119" i="1"/>
  <c r="D69" i="1"/>
  <c r="C69" i="1"/>
  <c r="B69" i="1"/>
  <c r="D2" i="1"/>
  <c r="C2" i="1"/>
  <c r="E2" i="1" s="1"/>
  <c r="B2" i="1"/>
  <c r="D16" i="1"/>
  <c r="C16" i="1"/>
  <c r="E16" i="1" s="1"/>
  <c r="B16" i="1"/>
  <c r="D70" i="1"/>
  <c r="C70" i="1"/>
  <c r="B70" i="1"/>
  <c r="D158" i="1"/>
  <c r="C158" i="1"/>
  <c r="B158" i="1"/>
  <c r="I213" i="1"/>
  <c r="G213" i="1"/>
  <c r="D213" i="1"/>
  <c r="C213" i="1"/>
  <c r="B213" i="1"/>
  <c r="J20" i="1"/>
  <c r="I43" i="1"/>
  <c r="G43" i="1"/>
  <c r="F43" i="1"/>
  <c r="D43" i="1"/>
  <c r="C43" i="1"/>
  <c r="B43" i="1"/>
  <c r="D312" i="1"/>
  <c r="C312" i="1"/>
  <c r="B312" i="1"/>
  <c r="I27" i="1"/>
  <c r="G27" i="1"/>
  <c r="F27" i="1"/>
  <c r="D27" i="1"/>
  <c r="C27" i="1"/>
  <c r="B27" i="1"/>
  <c r="I296" i="1"/>
  <c r="G296" i="1"/>
  <c r="F296" i="1"/>
  <c r="D296" i="1"/>
  <c r="C296" i="1"/>
  <c r="B296" i="1"/>
  <c r="I42" i="1"/>
  <c r="G42" i="1"/>
  <c r="F42" i="1"/>
  <c r="D42" i="1"/>
  <c r="C42" i="1"/>
  <c r="B42" i="1"/>
  <c r="I230" i="1"/>
  <c r="G212" i="1"/>
  <c r="G20" i="1"/>
  <c r="F20" i="1"/>
  <c r="H20" i="1" s="1"/>
  <c r="G230" i="1"/>
  <c r="F230" i="1"/>
  <c r="D258" i="1"/>
  <c r="C258" i="1"/>
  <c r="B258" i="1"/>
  <c r="D212" i="1"/>
  <c r="C212" i="1"/>
  <c r="B212" i="1"/>
  <c r="D230" i="1"/>
  <c r="C230" i="1"/>
  <c r="B230" i="1"/>
  <c r="I257" i="1"/>
  <c r="G257" i="1"/>
  <c r="F257" i="1"/>
  <c r="D257" i="1"/>
  <c r="C257" i="1"/>
  <c r="B257" i="1"/>
  <c r="I258" i="1"/>
  <c r="G198" i="1"/>
  <c r="H198" i="1" s="1"/>
  <c r="G69" i="1"/>
  <c r="H69" i="1"/>
  <c r="F212" i="1"/>
  <c r="F213" i="1"/>
  <c r="D198" i="1"/>
  <c r="C198" i="1"/>
  <c r="B198" i="1"/>
  <c r="I75" i="1"/>
  <c r="G75" i="1"/>
  <c r="F75" i="1"/>
  <c r="D75" i="1"/>
  <c r="C75" i="1"/>
  <c r="B75" i="1"/>
  <c r="I209" i="1"/>
  <c r="G209" i="1"/>
  <c r="F209" i="1"/>
  <c r="D209" i="1"/>
  <c r="C209" i="1"/>
  <c r="B209" i="1"/>
  <c r="J215" i="1"/>
  <c r="I215" i="1"/>
  <c r="D215" i="1"/>
  <c r="C215" i="1"/>
  <c r="B215" i="1"/>
  <c r="C306" i="1"/>
  <c r="I248" i="1"/>
  <c r="G248" i="1"/>
  <c r="F248" i="1"/>
  <c r="D248" i="1"/>
  <c r="C248" i="1"/>
  <c r="B248" i="1"/>
  <c r="G306" i="1"/>
  <c r="I306" i="1"/>
  <c r="D306" i="1"/>
  <c r="J64" i="1"/>
  <c r="I64" i="1"/>
  <c r="H112" i="1"/>
  <c r="H264" i="1"/>
  <c r="F306" i="1"/>
  <c r="G268" i="1"/>
  <c r="F268" i="1"/>
  <c r="C268" i="1"/>
  <c r="E268" i="1" s="1"/>
  <c r="B268" i="1"/>
  <c r="D91" i="1"/>
  <c r="C91" i="1"/>
  <c r="E91" i="1" s="1"/>
  <c r="B91" i="1"/>
  <c r="D64" i="1"/>
  <c r="C64" i="1"/>
  <c r="G189" i="1"/>
  <c r="F189" i="1"/>
  <c r="H189" i="1" s="1"/>
  <c r="D189" i="1"/>
  <c r="C189" i="1"/>
  <c r="B189" i="1"/>
  <c r="I288" i="1"/>
  <c r="G158" i="1"/>
  <c r="H158" i="1" s="1"/>
  <c r="G206" i="1"/>
  <c r="F206" i="1"/>
  <c r="G246" i="1"/>
  <c r="F246" i="1"/>
  <c r="G153" i="1"/>
  <c r="F153" i="1"/>
  <c r="D246" i="1"/>
  <c r="C246" i="1"/>
  <c r="B246" i="1"/>
  <c r="D206" i="1"/>
  <c r="C206" i="1"/>
  <c r="B206" i="1"/>
  <c r="E239" i="1"/>
  <c r="D288" i="1"/>
  <c r="C288" i="1"/>
  <c r="B288" i="1"/>
  <c r="E153" i="1"/>
  <c r="G64" i="1"/>
  <c r="F64" i="1"/>
  <c r="F80" i="1"/>
  <c r="G182" i="1"/>
  <c r="F182" i="1"/>
  <c r="G288" i="1"/>
  <c r="F288" i="1"/>
  <c r="G215" i="1"/>
  <c r="F215" i="1"/>
  <c r="G311" i="1"/>
  <c r="F311" i="1"/>
  <c r="H6" i="1"/>
  <c r="H7" i="1"/>
  <c r="H8" i="1"/>
  <c r="H9" i="1"/>
  <c r="H10" i="1"/>
  <c r="H11" i="1"/>
  <c r="H12" i="1"/>
  <c r="H13" i="1"/>
  <c r="H14" i="1"/>
  <c r="H15" i="1"/>
  <c r="H17" i="1"/>
  <c r="H19" i="1"/>
  <c r="H21" i="1"/>
  <c r="H22" i="1"/>
  <c r="H23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4" i="1"/>
  <c r="H45" i="1"/>
  <c r="H46" i="1"/>
  <c r="H47" i="1"/>
  <c r="H48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72" i="1"/>
  <c r="H73" i="1"/>
  <c r="H74" i="1"/>
  <c r="H77" i="1"/>
  <c r="H78" i="1"/>
  <c r="H79" i="1"/>
  <c r="H81" i="1"/>
  <c r="H83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1" i="1"/>
  <c r="H102" i="1"/>
  <c r="H104" i="1"/>
  <c r="H105" i="1"/>
  <c r="H107" i="1"/>
  <c r="H108" i="1"/>
  <c r="H109" i="1"/>
  <c r="H110" i="1"/>
  <c r="H111" i="1"/>
  <c r="H113" i="1"/>
  <c r="H114" i="1"/>
  <c r="H115" i="1"/>
  <c r="H116" i="1"/>
  <c r="H117" i="1"/>
  <c r="H118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3" i="1"/>
  <c r="H184" i="1"/>
  <c r="H185" i="1"/>
  <c r="H186" i="1"/>
  <c r="H187" i="1"/>
  <c r="H188" i="1"/>
  <c r="H190" i="1"/>
  <c r="H192" i="1"/>
  <c r="H193" i="1"/>
  <c r="H194" i="1"/>
  <c r="H195" i="1"/>
  <c r="H196" i="1"/>
  <c r="H197" i="1"/>
  <c r="H199" i="1"/>
  <c r="H200" i="1"/>
  <c r="H201" i="1"/>
  <c r="H202" i="1"/>
  <c r="H203" i="1"/>
  <c r="H204" i="1"/>
  <c r="H205" i="1"/>
  <c r="H207" i="1"/>
  <c r="H208" i="1"/>
  <c r="H210" i="1"/>
  <c r="H214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1" i="1"/>
  <c r="H232" i="1"/>
  <c r="H233" i="1"/>
  <c r="H235" i="1"/>
  <c r="H236" i="1"/>
  <c r="H237" i="1"/>
  <c r="H238" i="1"/>
  <c r="H240" i="1"/>
  <c r="H241" i="1"/>
  <c r="H242" i="1"/>
  <c r="H243" i="1"/>
  <c r="H244" i="1"/>
  <c r="H245" i="1"/>
  <c r="H247" i="1"/>
  <c r="H249" i="1"/>
  <c r="H250" i="1"/>
  <c r="H251" i="1"/>
  <c r="H252" i="1"/>
  <c r="H253" i="1"/>
  <c r="H254" i="1"/>
  <c r="H255" i="1"/>
  <c r="H256" i="1"/>
  <c r="H258" i="1"/>
  <c r="H259" i="1"/>
  <c r="H260" i="1"/>
  <c r="H261" i="1"/>
  <c r="H262" i="1"/>
  <c r="H265" i="1"/>
  <c r="H266" i="1"/>
  <c r="H267" i="1"/>
  <c r="H269" i="1"/>
  <c r="H270" i="1"/>
  <c r="H271" i="1"/>
  <c r="H272" i="1"/>
  <c r="H273" i="1"/>
  <c r="H274" i="1"/>
  <c r="H275" i="1"/>
  <c r="H277" i="1"/>
  <c r="H278" i="1"/>
  <c r="H279" i="1"/>
  <c r="H280" i="1"/>
  <c r="H281" i="1"/>
  <c r="H282" i="1"/>
  <c r="H283" i="1"/>
  <c r="H285" i="1"/>
  <c r="H286" i="1"/>
  <c r="H287" i="1"/>
  <c r="H289" i="1"/>
  <c r="H290" i="1"/>
  <c r="H291" i="1"/>
  <c r="H292" i="1"/>
  <c r="H293" i="1"/>
  <c r="H294" i="1"/>
  <c r="H295" i="1"/>
  <c r="H297" i="1"/>
  <c r="H298" i="1"/>
  <c r="H299" i="1"/>
  <c r="H300" i="1"/>
  <c r="H301" i="1"/>
  <c r="H302" i="1"/>
  <c r="H303" i="1"/>
  <c r="H304" i="1"/>
  <c r="H305" i="1"/>
  <c r="H307" i="1"/>
  <c r="H308" i="1"/>
  <c r="H309" i="1"/>
  <c r="H310" i="1"/>
  <c r="H312" i="1"/>
  <c r="H313" i="1"/>
  <c r="H4" i="1"/>
  <c r="I182" i="1"/>
  <c r="D182" i="1"/>
  <c r="E182" i="1" s="1"/>
  <c r="B182" i="1"/>
  <c r="D311" i="1"/>
  <c r="C311" i="1"/>
  <c r="B311" i="1"/>
  <c r="C183" i="1"/>
  <c r="E6" i="1"/>
  <c r="E8" i="1"/>
  <c r="E9" i="1"/>
  <c r="E10" i="1"/>
  <c r="E11" i="1"/>
  <c r="E12" i="1"/>
  <c r="E13" i="1"/>
  <c r="E14" i="1"/>
  <c r="E15" i="1"/>
  <c r="E17" i="1"/>
  <c r="E22" i="1"/>
  <c r="E23" i="1"/>
  <c r="E25" i="1"/>
  <c r="E26" i="1"/>
  <c r="E28" i="1"/>
  <c r="E29" i="1"/>
  <c r="E30" i="1"/>
  <c r="E31" i="1"/>
  <c r="E32" i="1"/>
  <c r="E33" i="1"/>
  <c r="E34" i="1"/>
  <c r="E35" i="1"/>
  <c r="E37" i="1"/>
  <c r="E39" i="1"/>
  <c r="E40" i="1"/>
  <c r="E41" i="1"/>
  <c r="E44" i="1"/>
  <c r="E45" i="1"/>
  <c r="E46" i="1"/>
  <c r="E47" i="1"/>
  <c r="E48" i="1"/>
  <c r="E51" i="1"/>
  <c r="E52" i="1"/>
  <c r="E53" i="1"/>
  <c r="E54" i="1"/>
  <c r="E55" i="1"/>
  <c r="E56" i="1"/>
  <c r="E57" i="1"/>
  <c r="E58" i="1"/>
  <c r="E59" i="1"/>
  <c r="E61" i="1"/>
  <c r="E62" i="1"/>
  <c r="E63" i="1"/>
  <c r="E65" i="1"/>
  <c r="E66" i="1"/>
  <c r="E67" i="1"/>
  <c r="E68" i="1"/>
  <c r="E73" i="1"/>
  <c r="E74" i="1"/>
  <c r="E77" i="1"/>
  <c r="E78" i="1"/>
  <c r="E81" i="1"/>
  <c r="E83" i="1"/>
  <c r="E85" i="1"/>
  <c r="E87" i="1"/>
  <c r="E88" i="1"/>
  <c r="E89" i="1"/>
  <c r="E90" i="1"/>
  <c r="E92" i="1"/>
  <c r="E93" i="1"/>
  <c r="E94" i="1"/>
  <c r="E95" i="1"/>
  <c r="E96" i="1"/>
  <c r="E97" i="1"/>
  <c r="E98" i="1"/>
  <c r="E99" i="1"/>
  <c r="E101" i="1"/>
  <c r="E102" i="1"/>
  <c r="E104" i="1"/>
  <c r="E105" i="1"/>
  <c r="E107" i="1"/>
  <c r="E108" i="1"/>
  <c r="E109" i="1"/>
  <c r="E110" i="1"/>
  <c r="E111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51" i="1"/>
  <c r="E154" i="1"/>
  <c r="E155" i="1"/>
  <c r="E156" i="1"/>
  <c r="E157" i="1"/>
  <c r="E160" i="1"/>
  <c r="E161" i="1"/>
  <c r="E162" i="1"/>
  <c r="E163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6" i="1"/>
  <c r="E187" i="1"/>
  <c r="E188" i="1"/>
  <c r="E190" i="1"/>
  <c r="E192" i="1"/>
  <c r="E193" i="1"/>
  <c r="E194" i="1"/>
  <c r="E196" i="1"/>
  <c r="E197" i="1"/>
  <c r="E199" i="1"/>
  <c r="E200" i="1"/>
  <c r="E201" i="1"/>
  <c r="E202" i="1"/>
  <c r="E203" i="1"/>
  <c r="E204" i="1"/>
  <c r="E205" i="1"/>
  <c r="E207" i="1"/>
  <c r="E208" i="1"/>
  <c r="E210" i="1"/>
  <c r="E214" i="1"/>
  <c r="E216" i="1"/>
  <c r="E217" i="1"/>
  <c r="E218" i="1"/>
  <c r="E219" i="1"/>
  <c r="E220" i="1"/>
  <c r="E221" i="1"/>
  <c r="E223" i="1"/>
  <c r="E224" i="1"/>
  <c r="E227" i="1"/>
  <c r="E228" i="1"/>
  <c r="E229" i="1"/>
  <c r="E231" i="1"/>
  <c r="E232" i="1"/>
  <c r="E233" i="1"/>
  <c r="E235" i="1"/>
  <c r="E236" i="1"/>
  <c r="E237" i="1"/>
  <c r="E238" i="1"/>
  <c r="E240" i="1"/>
  <c r="E241" i="1"/>
  <c r="E242" i="1"/>
  <c r="E243" i="1"/>
  <c r="E244" i="1"/>
  <c r="E245" i="1"/>
  <c r="E247" i="1"/>
  <c r="E249" i="1"/>
  <c r="E250" i="1"/>
  <c r="E251" i="1"/>
  <c r="E252" i="1"/>
  <c r="E253" i="1"/>
  <c r="E254" i="1"/>
  <c r="E255" i="1"/>
  <c r="E256" i="1"/>
  <c r="E259" i="1"/>
  <c r="E260" i="1"/>
  <c r="E261" i="1"/>
  <c r="E262" i="1"/>
  <c r="E264" i="1"/>
  <c r="E265" i="1"/>
  <c r="E266" i="1"/>
  <c r="E267" i="1"/>
  <c r="E269" i="1"/>
  <c r="E270" i="1"/>
  <c r="E271" i="1"/>
  <c r="E272" i="1"/>
  <c r="E273" i="1"/>
  <c r="E274" i="1"/>
  <c r="E275" i="1"/>
  <c r="E277" i="1"/>
  <c r="E278" i="1"/>
  <c r="E279" i="1"/>
  <c r="E280" i="1"/>
  <c r="E281" i="1"/>
  <c r="E282" i="1"/>
  <c r="E283" i="1"/>
  <c r="E285" i="1"/>
  <c r="E286" i="1"/>
  <c r="E287" i="1"/>
  <c r="E289" i="1"/>
  <c r="E290" i="1"/>
  <c r="E291" i="1"/>
  <c r="E292" i="1"/>
  <c r="E293" i="1"/>
  <c r="E294" i="1"/>
  <c r="E295" i="1"/>
  <c r="E297" i="1"/>
  <c r="E298" i="1"/>
  <c r="E299" i="1"/>
  <c r="E300" i="1"/>
  <c r="E301" i="1"/>
  <c r="E302" i="1"/>
  <c r="E303" i="1"/>
  <c r="E304" i="1"/>
  <c r="E305" i="1"/>
  <c r="E307" i="1"/>
  <c r="E308" i="1"/>
  <c r="E309" i="1"/>
  <c r="E310" i="1"/>
  <c r="E4" i="1"/>
  <c r="J183" i="1"/>
  <c r="I183" i="1"/>
  <c r="D183" i="1"/>
  <c r="E183" i="1" s="1"/>
  <c r="B183" i="1"/>
  <c r="E75" i="1"/>
  <c r="H42" i="1" l="1"/>
  <c r="E312" i="1"/>
  <c r="E296" i="1"/>
  <c r="H100" i="1"/>
  <c r="E211" i="1"/>
  <c r="H43" i="1"/>
  <c r="H209" i="1"/>
  <c r="H263" i="1"/>
  <c r="E311" i="1"/>
  <c r="H182" i="1"/>
  <c r="H153" i="1"/>
  <c r="E248" i="1"/>
  <c r="E263" i="1"/>
  <c r="H64" i="1"/>
  <c r="H246" i="1"/>
  <c r="H206" i="1"/>
  <c r="H276" i="1"/>
  <c r="E234" i="1"/>
  <c r="E189" i="1"/>
  <c r="E158" i="1"/>
  <c r="E191" i="1"/>
  <c r="H24" i="1"/>
  <c r="H215" i="1"/>
  <c r="E43" i="1"/>
  <c r="E27" i="1"/>
  <c r="E24" i="1"/>
  <c r="E215" i="1"/>
  <c r="H268" i="1"/>
  <c r="E288" i="1"/>
  <c r="H213" i="1"/>
  <c r="E212" i="1"/>
  <c r="E230" i="1"/>
  <c r="E306" i="1"/>
  <c r="H212" i="1"/>
  <c r="H50" i="1"/>
  <c r="H306" i="1"/>
  <c r="H248" i="1"/>
  <c r="E119" i="1"/>
  <c r="H27" i="1"/>
  <c r="E213" i="1"/>
  <c r="H70" i="1"/>
  <c r="E49" i="1"/>
  <c r="H296" i="1"/>
  <c r="H211" i="1"/>
  <c r="H106" i="1"/>
  <c r="E80" i="1"/>
  <c r="H164" i="1"/>
  <c r="E70" i="1"/>
  <c r="E42" i="1"/>
  <c r="E225" i="1"/>
  <c r="H3" i="1"/>
  <c r="E257" i="1"/>
  <c r="E3" i="1"/>
  <c r="E64" i="1"/>
  <c r="E20" i="1"/>
  <c r="E258" i="1"/>
  <c r="H230" i="1"/>
  <c r="H311" i="1"/>
  <c r="E276" i="1"/>
  <c r="H80" i="1"/>
  <c r="E206" i="1"/>
  <c r="H75" i="1"/>
  <c r="H257" i="1"/>
  <c r="H288" i="1"/>
  <c r="H191" i="1"/>
  <c r="E164" i="1"/>
  <c r="E69" i="1"/>
  <c r="E209" i="1"/>
  <c r="E106" i="1"/>
  <c r="H225" i="1"/>
  <c r="E284" i="1"/>
  <c r="E246" i="1"/>
  <c r="E198" i="1"/>
  <c r="E71" i="1"/>
  <c r="E100" i="1"/>
</calcChain>
</file>

<file path=xl/sharedStrings.xml><?xml version="1.0" encoding="utf-8"?>
<sst xmlns="http://schemas.openxmlformats.org/spreadsheetml/2006/main" count="339" uniqueCount="320">
  <si>
    <t>Games</t>
  </si>
  <si>
    <t>Runs</t>
  </si>
  <si>
    <t>Average</t>
  </si>
  <si>
    <t>Catch</t>
  </si>
  <si>
    <t>Stump.</t>
  </si>
  <si>
    <t>MULLETT.D</t>
  </si>
  <si>
    <t>PEARCE.K</t>
  </si>
  <si>
    <t>DELL.CHRIS</t>
  </si>
  <si>
    <t>PHILPOTT.S</t>
  </si>
  <si>
    <t>MANEY.M</t>
  </si>
  <si>
    <t>MATTHEWS.K</t>
  </si>
  <si>
    <t>SQUIBB.W</t>
  </si>
  <si>
    <t>ENRIGHT.M</t>
  </si>
  <si>
    <t>ALLEN.H</t>
  </si>
  <si>
    <t>LEE.S</t>
  </si>
  <si>
    <t>STEVEN.M</t>
  </si>
  <si>
    <t>SMITH.T</t>
  </si>
  <si>
    <t>UNDERWOOD.T</t>
  </si>
  <si>
    <t>LYONS.P</t>
  </si>
  <si>
    <t>CAREY.A</t>
  </si>
  <si>
    <t>CRAWFORD.G</t>
  </si>
  <si>
    <t>ARNOLD.C</t>
  </si>
  <si>
    <t>ARNOLD.B</t>
  </si>
  <si>
    <t>ALEXANDER.B</t>
  </si>
  <si>
    <t>KELLY.M</t>
  </si>
  <si>
    <t>FAWKNER.D</t>
  </si>
  <si>
    <t>COLLINS.C</t>
  </si>
  <si>
    <t>O'HALLORAN.D</t>
  </si>
  <si>
    <t>DUDMAN.K</t>
  </si>
  <si>
    <t>McCONNON.F</t>
  </si>
  <si>
    <t>LINDSAY.C</t>
  </si>
  <si>
    <t>FIDLER.N</t>
  </si>
  <si>
    <t>FEBEY.N</t>
  </si>
  <si>
    <t>DAVISON.G</t>
  </si>
  <si>
    <t>SQUIBB.D</t>
  </si>
  <si>
    <t>WINTER.S</t>
  </si>
  <si>
    <t>SHERRIFF.R</t>
  </si>
  <si>
    <t>RIMMER.G</t>
  </si>
  <si>
    <t>WILLIAMS.T</t>
  </si>
  <si>
    <t>BROWN.K</t>
  </si>
  <si>
    <t>HARMAN.M</t>
  </si>
  <si>
    <t>FOGG.S</t>
  </si>
  <si>
    <t>ROBINSON.D</t>
  </si>
  <si>
    <t>LYNCH.R</t>
  </si>
  <si>
    <t>MITCHELL.S</t>
  </si>
  <si>
    <t>BENNETT.M</t>
  </si>
  <si>
    <t>DAGLISH.L</t>
  </si>
  <si>
    <t>STOTT.H</t>
  </si>
  <si>
    <t>LAWLER.B</t>
  </si>
  <si>
    <t>KELLY.P</t>
  </si>
  <si>
    <t>GOODMAN.G</t>
  </si>
  <si>
    <t>MULLETT.B</t>
  </si>
  <si>
    <t>LOONE.P</t>
  </si>
  <si>
    <t>STEWART.W</t>
  </si>
  <si>
    <t>GOWER.S</t>
  </si>
  <si>
    <t>CARNEY.B</t>
  </si>
  <si>
    <t>LAKELAND.D</t>
  </si>
  <si>
    <t>MORRIS.B</t>
  </si>
  <si>
    <t>PASKE.S</t>
  </si>
  <si>
    <t>BOON.A</t>
  </si>
  <si>
    <t>ENRIGHT.C</t>
  </si>
  <si>
    <t>MUNTING.P</t>
  </si>
  <si>
    <t>ROBINSON.B</t>
  </si>
  <si>
    <t>BARNARD.M</t>
  </si>
  <si>
    <t>COOK.C</t>
  </si>
  <si>
    <t>WICKHAM.A</t>
  </si>
  <si>
    <t>PACKETT.C</t>
  </si>
  <si>
    <t>BOUCHER.J</t>
  </si>
  <si>
    <t>McGANN.N</t>
  </si>
  <si>
    <t>BOWLES.D</t>
  </si>
  <si>
    <t>OWEN.R</t>
  </si>
  <si>
    <t>HERBERT.P</t>
  </si>
  <si>
    <t>KELLY.B</t>
  </si>
  <si>
    <t>MILES.G</t>
  </si>
  <si>
    <t>BLIGH.D</t>
  </si>
  <si>
    <t>HAYS.J</t>
  </si>
  <si>
    <t>GRETTON.J</t>
  </si>
  <si>
    <t>LAMONT.C</t>
  </si>
  <si>
    <t>McGURK.C</t>
  </si>
  <si>
    <t>BROWN.R</t>
  </si>
  <si>
    <t>DORAN.R</t>
  </si>
  <si>
    <t>MATTHEWS.P</t>
  </si>
  <si>
    <t>CODRINGTON.G</t>
  </si>
  <si>
    <t>MANSFIELD.G</t>
  </si>
  <si>
    <t>McKENZIE.J</t>
  </si>
  <si>
    <t>STONE.C</t>
  </si>
  <si>
    <t>TUEON.D</t>
  </si>
  <si>
    <t>BURKE.C</t>
  </si>
  <si>
    <t>FAIRBROTHER.W</t>
  </si>
  <si>
    <t>SHEEN.B</t>
  </si>
  <si>
    <t>WILLIAMS.M</t>
  </si>
  <si>
    <t>FOSTER.G</t>
  </si>
  <si>
    <t>FITZMAURICE.H</t>
  </si>
  <si>
    <t>McGUIRE.T</t>
  </si>
  <si>
    <t>AYERS.C</t>
  </si>
  <si>
    <t>SABALLUS.A</t>
  </si>
  <si>
    <t>GRAHAM.T</t>
  </si>
  <si>
    <t>SALES.J</t>
  </si>
  <si>
    <t>McCORMACK.M</t>
  </si>
  <si>
    <t>KRUSHKA.A</t>
  </si>
  <si>
    <t>LYONS.B</t>
  </si>
  <si>
    <t>DELL. CALLAN</t>
  </si>
  <si>
    <t>IBADULLA.K</t>
  </si>
  <si>
    <t>RUTHERFORD.K</t>
  </si>
  <si>
    <t>BALDOCK.D</t>
  </si>
  <si>
    <t>O'BOYLE.N</t>
  </si>
  <si>
    <t>JACKSON.G</t>
  </si>
  <si>
    <t>PITHOUSE.J</t>
  </si>
  <si>
    <t>DAWKINS.L</t>
  </si>
  <si>
    <t>LAMONT.B</t>
  </si>
  <si>
    <t>BROOKE.V</t>
  </si>
  <si>
    <t>BLAIR.C</t>
  </si>
  <si>
    <t>CLEMENTS.C</t>
  </si>
  <si>
    <t>MANEY.CR</t>
  </si>
  <si>
    <t>ARNOLD.J</t>
  </si>
  <si>
    <t>COLLINS.B</t>
  </si>
  <si>
    <t>DOCKER.J</t>
  </si>
  <si>
    <t>WHISH-WILSON.B</t>
  </si>
  <si>
    <t>ROWLANDS.P</t>
  </si>
  <si>
    <t>WALSH.K</t>
  </si>
  <si>
    <t>EADE.B</t>
  </si>
  <si>
    <t>WEBSTER.H</t>
  </si>
  <si>
    <t>SNELL.T</t>
  </si>
  <si>
    <t>ATKINS.B</t>
  </si>
  <si>
    <t>MILBOURNE.B</t>
  </si>
  <si>
    <t>MURRAY.B</t>
  </si>
  <si>
    <t>MARQUIS.P</t>
  </si>
  <si>
    <t>MEDCRAFT.G</t>
  </si>
  <si>
    <t>HICKS.M</t>
  </si>
  <si>
    <t>JONES.P</t>
  </si>
  <si>
    <t>MARTIN.S</t>
  </si>
  <si>
    <t>GALE.I</t>
  </si>
  <si>
    <t>BATT.R</t>
  </si>
  <si>
    <t>MARSHALL.L</t>
  </si>
  <si>
    <t>WALSH.D</t>
  </si>
  <si>
    <t>PINKUS.N</t>
  </si>
  <si>
    <t>SHEEAN.B</t>
  </si>
  <si>
    <t>BUCKINGHAM.D</t>
  </si>
  <si>
    <t>SCULLY.W</t>
  </si>
  <si>
    <t>ACKERLEY. S</t>
  </si>
  <si>
    <t>ANDERSON.P</t>
  </si>
  <si>
    <t>GRIGGS.H</t>
  </si>
  <si>
    <t>KEENAN.T</t>
  </si>
  <si>
    <t>MITCHELL.C</t>
  </si>
  <si>
    <t>SELLARS.J</t>
  </si>
  <si>
    <t>KANHAI.R</t>
  </si>
  <si>
    <t>ELLIS.G</t>
  </si>
  <si>
    <t>JACKSON.P</t>
  </si>
  <si>
    <t>FRENCH.S</t>
  </si>
  <si>
    <t>NEWMAN.W</t>
  </si>
  <si>
    <t>McGREGOR.K</t>
  </si>
  <si>
    <t>WIGGERS.J</t>
  </si>
  <si>
    <t>HARDACRE.M</t>
  </si>
  <si>
    <t>JAFFRAY.C</t>
  </si>
  <si>
    <t>STEWART.M</t>
  </si>
  <si>
    <t>LEHNER.C</t>
  </si>
  <si>
    <t>LOVATT.S</t>
  </si>
  <si>
    <t>CLARKE.W</t>
  </si>
  <si>
    <t>SHERRIFF.P</t>
  </si>
  <si>
    <t>WILKINSON.N</t>
  </si>
  <si>
    <t>MATTHEWS.H</t>
  </si>
  <si>
    <t>PHAIR.P</t>
  </si>
  <si>
    <t>MAZUREK.S</t>
  </si>
  <si>
    <t>HOOPER.M</t>
  </si>
  <si>
    <t>BOWER.D</t>
  </si>
  <si>
    <t>WELSH.H</t>
  </si>
  <si>
    <t>WINTER.G</t>
  </si>
  <si>
    <t>BRYAN.J</t>
  </si>
  <si>
    <t>HUME.D</t>
  </si>
  <si>
    <t>PAGE.R</t>
  </si>
  <si>
    <t>WEEKS.D</t>
  </si>
  <si>
    <t>BONNEY.P</t>
  </si>
  <si>
    <t>HARREX.R</t>
  </si>
  <si>
    <t>MOORE.T</t>
  </si>
  <si>
    <t>JARMAN.D</t>
  </si>
  <si>
    <t>LYNCH.T</t>
  </si>
  <si>
    <t>BAWER.D</t>
  </si>
  <si>
    <t>WICKHAM.D</t>
  </si>
  <si>
    <t>MILES.R</t>
  </si>
  <si>
    <t>MITCHELL.P</t>
  </si>
  <si>
    <t>HUME.G</t>
  </si>
  <si>
    <t>STOW.P</t>
  </si>
  <si>
    <t>RICHARDSON.N</t>
  </si>
  <si>
    <t>HORLER.J</t>
  </si>
  <si>
    <t>BOGANOFF.A</t>
  </si>
  <si>
    <t>SOLOMON.L</t>
  </si>
  <si>
    <t>HICKS.A</t>
  </si>
  <si>
    <t>HUGHES.P</t>
  </si>
  <si>
    <t>RUNDLE.T</t>
  </si>
  <si>
    <t>WOOLLEY.A</t>
  </si>
  <si>
    <t>ATKINS.G</t>
  </si>
  <si>
    <t>ROBINSON.P</t>
  </si>
  <si>
    <t>O'SHEA.M</t>
  </si>
  <si>
    <t>MANSFIELD.A</t>
  </si>
  <si>
    <t>IRWIN.D</t>
  </si>
  <si>
    <t>GAGGIN.A</t>
  </si>
  <si>
    <t>CADLE.D</t>
  </si>
  <si>
    <t>BIRKET.P</t>
  </si>
  <si>
    <t>GAFFNEY.D</t>
  </si>
  <si>
    <t>GOSS.P</t>
  </si>
  <si>
    <t>RYAN.T</t>
  </si>
  <si>
    <t>SHAW.J</t>
  </si>
  <si>
    <t>TUCKER.R</t>
  </si>
  <si>
    <t>BENNETT.A</t>
  </si>
  <si>
    <t>MANEY.CH</t>
  </si>
  <si>
    <t>SWANSON.J</t>
  </si>
  <si>
    <t>CARROLL.J</t>
  </si>
  <si>
    <t>RYAN.L</t>
  </si>
  <si>
    <t>MALLINSON.A</t>
  </si>
  <si>
    <t>HAYWARD.M</t>
  </si>
  <si>
    <t>LOWE.D</t>
  </si>
  <si>
    <t>DUNNE.J</t>
  </si>
  <si>
    <t>MADELLY.J</t>
  </si>
  <si>
    <t>WATERHOUSE.J</t>
  </si>
  <si>
    <t>LEWIS.I</t>
  </si>
  <si>
    <t>VINCENT.L</t>
  </si>
  <si>
    <t>THOMPSON.J</t>
  </si>
  <si>
    <t>MURFETT.I</t>
  </si>
  <si>
    <t>RASE.D</t>
  </si>
  <si>
    <t>WEBB.T</t>
  </si>
  <si>
    <t>ENRIGHT.N</t>
  </si>
  <si>
    <t>MONCRIEFF.C</t>
  </si>
  <si>
    <t>RODWELL.P</t>
  </si>
  <si>
    <t>SMITH.G</t>
  </si>
  <si>
    <t>BRUMBY.M</t>
  </si>
  <si>
    <t>ROCKLIFF.P</t>
  </si>
  <si>
    <t>IVORY.G</t>
  </si>
  <si>
    <t>MATTHEWS.B</t>
  </si>
  <si>
    <t>LOONE.PE</t>
  </si>
  <si>
    <t>RAWLINGS.J</t>
  </si>
  <si>
    <t>JAMES.K</t>
  </si>
  <si>
    <t>CROSBY.R</t>
  </si>
  <si>
    <t>PIERCY.G</t>
  </si>
  <si>
    <t>STEWART.D</t>
  </si>
  <si>
    <t>FREE.K</t>
  </si>
  <si>
    <t>GLOVER.R</t>
  </si>
  <si>
    <t>BRAMICH.N</t>
  </si>
  <si>
    <t>DAVIES.R</t>
  </si>
  <si>
    <t>NORMAN.M</t>
  </si>
  <si>
    <t>ELLIOTT.R</t>
  </si>
  <si>
    <t>GOFRON.G</t>
  </si>
  <si>
    <t>LUMB.W</t>
  </si>
  <si>
    <t>HILL.M</t>
  </si>
  <si>
    <t>DELL.V</t>
  </si>
  <si>
    <t>BROWN.B</t>
  </si>
  <si>
    <t>BENNETT.E</t>
  </si>
  <si>
    <t>CARTER.C</t>
  </si>
  <si>
    <t>WALSHE.A</t>
  </si>
  <si>
    <t>CROWDEN.L</t>
  </si>
  <si>
    <t>BOON.C</t>
  </si>
  <si>
    <t>BROWN T.</t>
  </si>
  <si>
    <t>GONINON.C</t>
  </si>
  <si>
    <t>McCONNON.R</t>
  </si>
  <si>
    <t>KENNA.R</t>
  </si>
  <si>
    <t>ALEXANDER.P</t>
  </si>
  <si>
    <t>LAYTON.T</t>
  </si>
  <si>
    <t>YOUNG.S</t>
  </si>
  <si>
    <t>COE.D</t>
  </si>
  <si>
    <t>BANFIELD.T</t>
  </si>
  <si>
    <t>DOUCE.B</t>
  </si>
  <si>
    <t>LEE.J</t>
  </si>
  <si>
    <t>SQUIBB.N</t>
  </si>
  <si>
    <t>BARNES.R</t>
  </si>
  <si>
    <t>KELLY.D</t>
  </si>
  <si>
    <t>McCOY.C</t>
  </si>
  <si>
    <t>WOODBERRY.M</t>
  </si>
  <si>
    <t>DELL.S</t>
  </si>
  <si>
    <t>MILNE J.</t>
  </si>
  <si>
    <t>WILL B.</t>
  </si>
  <si>
    <t>HICKEY J.</t>
  </si>
  <si>
    <t>NEUBACHER B.</t>
  </si>
  <si>
    <t>COWLARD. R</t>
  </si>
  <si>
    <t>DELL.T</t>
  </si>
  <si>
    <t xml:space="preserve"> </t>
  </si>
  <si>
    <t>SAGGERS.J</t>
  </si>
  <si>
    <t>ROBINSON.O</t>
  </si>
  <si>
    <t>BROWN.J</t>
  </si>
  <si>
    <t>SMITH.J</t>
  </si>
  <si>
    <t>McCHRISTIE.A</t>
  </si>
  <si>
    <t>KOCH.L</t>
  </si>
  <si>
    <t>PLUNKETT.S</t>
  </si>
  <si>
    <t>ROBINSON.S</t>
  </si>
  <si>
    <t>BROWN.C</t>
  </si>
  <si>
    <t>MOORE.B</t>
  </si>
  <si>
    <t>GOLDSWORTHY O</t>
  </si>
  <si>
    <t>De LANGE. A</t>
  </si>
  <si>
    <t>FULTON. P</t>
  </si>
  <si>
    <t>PARAAM.A</t>
  </si>
  <si>
    <t>MOORE.C</t>
  </si>
  <si>
    <t>O'MAHONY.S</t>
  </si>
  <si>
    <t>BUCKNELL.B</t>
  </si>
  <si>
    <t>DARGAVEL.K</t>
  </si>
  <si>
    <t>McGUANE.J</t>
  </si>
  <si>
    <t>SHEEAN.E</t>
  </si>
  <si>
    <t>VON SCHILL.D</t>
  </si>
  <si>
    <t>VON STIEGLITZ.S</t>
  </si>
  <si>
    <t>DAVIES.H</t>
  </si>
  <si>
    <t>BADCOCK.L</t>
  </si>
  <si>
    <t>BELLCHAMBERS.T</t>
  </si>
  <si>
    <t>ABEYRATHNA.H</t>
  </si>
  <si>
    <t>WATTS.J</t>
  </si>
  <si>
    <t>PHILPOTT.B</t>
  </si>
  <si>
    <t>DAVIES.J</t>
  </si>
  <si>
    <t>TENAGLIA.B</t>
  </si>
  <si>
    <t>McCONNON.J</t>
  </si>
  <si>
    <t>GREWAL.S</t>
  </si>
  <si>
    <t>DEVERELL.K</t>
  </si>
  <si>
    <t>STEVEN.T</t>
  </si>
  <si>
    <t>Innings*</t>
  </si>
  <si>
    <t>*Innings means completed innings (i.e. total innings less N.O's)</t>
  </si>
  <si>
    <t>ACHAR. A</t>
  </si>
  <si>
    <t>BURBURY.O</t>
  </si>
  <si>
    <t>AHMED.S</t>
  </si>
  <si>
    <t>Wickets</t>
  </si>
  <si>
    <t>Includes 2023-2024</t>
  </si>
  <si>
    <t>IAGO.G</t>
  </si>
  <si>
    <t>DEIACOVO.M</t>
  </si>
  <si>
    <t>BAMFORD.B</t>
  </si>
  <si>
    <t>DOHERTY.J</t>
  </si>
  <si>
    <t>FRENCH.L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</si>
</sst>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24" x14ac:knownFonts="1">
    <font>
      <sz val="11"/>
      <color rgb="FF000000"/>
      <name val="Calibri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theme="3" tint="0.3999755851924192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5" applyNumberFormat="0" applyAlignment="0" applyProtection="0"/>
    <xf numFmtId="0" fontId="6" fillId="28" borderId="6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5" applyNumberFormat="0" applyAlignment="0" applyProtection="0"/>
    <xf numFmtId="0" fontId="13" fillId="0" borderId="10" applyNumberFormat="0" applyFill="0" applyAlignment="0" applyProtection="0"/>
    <xf numFmtId="0" fontId="14" fillId="31" borderId="0" applyNumberFormat="0" applyBorder="0" applyAlignment="0" applyProtection="0"/>
    <xf numFmtId="0" fontId="2" fillId="32" borderId="11" applyNumberFormat="0" applyFont="0" applyAlignment="0" applyProtection="0"/>
    <xf numFmtId="0" fontId="15" fillId="27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</cellStyleXfs>
  <cellXfs count="28">
    <xf numFmtId="0" fontId="0" fillId="0" borderId="0" xfId="0"/>
    <xf numFmtId="0" fontId="19" fillId="0" borderId="0" xfId="0" applyFont="1"/>
    <xf numFmtId="0" fontId="19" fillId="0" borderId="1" xfId="0" applyFont="1" applyBorder="1"/>
    <xf numFmtId="0" fontId="19" fillId="0" borderId="2" xfId="0" applyFont="1" applyBorder="1"/>
    <xf numFmtId="0" fontId="1" fillId="0" borderId="2" xfId="0" applyFont="1" applyBorder="1"/>
    <xf numFmtId="0" fontId="20" fillId="0" borderId="1" xfId="0" applyFont="1" applyBorder="1"/>
    <xf numFmtId="0" fontId="21" fillId="0" borderId="2" xfId="0" applyFont="1" applyBorder="1"/>
    <xf numFmtId="0" fontId="1" fillId="0" borderId="0" xfId="0" applyFont="1"/>
    <xf numFmtId="0" fontId="21" fillId="0" borderId="0" xfId="0" applyFont="1"/>
    <xf numFmtId="0" fontId="2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4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0" fontId="2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314"/>
  <sheetViews>
    <sheetView showGridLines="0" tabSelected="1" zoomScaleNormal="100" workbookViewId="0">
      <pane ySplit="1" topLeftCell="A11" activePane="bottomLeft" state="frozen"/>
      <selection pane="bottomLeft" activeCell="J18" sqref="J18"/>
    </sheetView>
  </sheetViews>
  <sheetFormatPr defaultColWidth="9.109375" defaultRowHeight="13.8" x14ac:dyDescent="0.25"/>
  <cols>
    <col min="1" max="1" width="23.33203125" style="1" customWidth="1"/>
    <col min="2" max="2" width="12.33203125" style="18" bestFit="1" customWidth="1"/>
    <col min="3" max="3" width="13.33203125" style="18" bestFit="1" customWidth="1"/>
    <col min="4" max="4" width="10.44140625" style="18" bestFit="1" customWidth="1"/>
    <col min="5" max="5" width="13.6640625" style="18" bestFit="1" customWidth="1"/>
    <col min="6" max="6" width="10.21875" style="18" bestFit="1" customWidth="1"/>
    <col min="7" max="7" width="10.44140625" style="18" bestFit="1" customWidth="1"/>
    <col min="8" max="8" width="13.6640625" style="18" bestFit="1" customWidth="1"/>
    <col min="9" max="9" width="11" style="18" bestFit="1" customWidth="1"/>
    <col min="10" max="10" width="12.33203125" style="18" bestFit="1" customWidth="1"/>
    <col min="11" max="16384" width="9.109375" style="1"/>
  </cols>
  <sheetData>
    <row r="1" spans="1:10" x14ac:dyDescent="0.25">
      <c r="A1" s="5" t="s">
        <v>314</v>
      </c>
      <c r="B1" s="9" t="s">
        <v>0</v>
      </c>
      <c r="C1" s="9" t="s">
        <v>308</v>
      </c>
      <c r="D1" s="9" t="s">
        <v>1</v>
      </c>
      <c r="E1" s="9" t="s">
        <v>2</v>
      </c>
      <c r="F1" s="9" t="s">
        <v>313</v>
      </c>
      <c r="G1" s="9" t="s">
        <v>1</v>
      </c>
      <c r="H1" s="9" t="s">
        <v>2</v>
      </c>
      <c r="I1" s="9" t="s">
        <v>3</v>
      </c>
      <c r="J1" s="9" t="s">
        <v>4</v>
      </c>
    </row>
    <row r="2" spans="1:10" s="8" customFormat="1" x14ac:dyDescent="0.25">
      <c r="A2" s="4" t="s">
        <v>299</v>
      </c>
      <c r="B2" s="10">
        <f>16+5</f>
        <v>21</v>
      </c>
      <c r="C2" s="10">
        <f>11+3</f>
        <v>14</v>
      </c>
      <c r="D2" s="10">
        <f>96+13</f>
        <v>109</v>
      </c>
      <c r="E2" s="11">
        <f>D2/C2</f>
        <v>7.7857142857142856</v>
      </c>
      <c r="F2" s="10">
        <f>19+8</f>
        <v>27</v>
      </c>
      <c r="G2" s="10">
        <f>337+161</f>
        <v>498</v>
      </c>
      <c r="H2" s="11">
        <f>G2/F2</f>
        <v>18.444444444444443</v>
      </c>
      <c r="I2" s="10">
        <f>3+3</f>
        <v>6</v>
      </c>
      <c r="J2" s="13"/>
    </row>
    <row r="3" spans="1:10" x14ac:dyDescent="0.25">
      <c r="A3" s="6" t="s">
        <v>310</v>
      </c>
      <c r="B3" s="13">
        <f>5+6</f>
        <v>11</v>
      </c>
      <c r="C3" s="13">
        <f>3+3</f>
        <v>6</v>
      </c>
      <c r="D3" s="13">
        <f>3+11</f>
        <v>14</v>
      </c>
      <c r="E3" s="14">
        <f>D3/C3</f>
        <v>2.3333333333333335</v>
      </c>
      <c r="F3" s="13">
        <f>4+3</f>
        <v>7</v>
      </c>
      <c r="G3" s="13">
        <f>98+166</f>
        <v>264</v>
      </c>
      <c r="H3" s="14">
        <f>G3/F3</f>
        <v>37.714285714285715</v>
      </c>
      <c r="I3" s="13">
        <f>1+3</f>
        <v>4</v>
      </c>
      <c r="J3" s="13"/>
    </row>
    <row r="4" spans="1:10" x14ac:dyDescent="0.25">
      <c r="A4" s="4" t="s">
        <v>139</v>
      </c>
      <c r="B4" s="10">
        <v>12</v>
      </c>
      <c r="C4" s="10">
        <v>7</v>
      </c>
      <c r="D4" s="10">
        <v>50</v>
      </c>
      <c r="E4" s="11">
        <f>D4/C4</f>
        <v>7.1428571428571432</v>
      </c>
      <c r="F4" s="10">
        <v>12</v>
      </c>
      <c r="G4" s="10">
        <v>400</v>
      </c>
      <c r="H4" s="11">
        <f>G4/F4</f>
        <v>33.333333333333336</v>
      </c>
      <c r="I4" s="10">
        <v>4</v>
      </c>
      <c r="J4" s="10"/>
    </row>
    <row r="5" spans="1:10" s="7" customFormat="1" x14ac:dyDescent="0.25">
      <c r="A5" s="4" t="s">
        <v>312</v>
      </c>
      <c r="B5" s="10">
        <v>1</v>
      </c>
      <c r="C5" s="10">
        <v>1</v>
      </c>
      <c r="D5" s="10">
        <f>5</f>
        <v>5</v>
      </c>
      <c r="E5" s="11">
        <f>D5/C5</f>
        <v>5</v>
      </c>
      <c r="F5" s="10">
        <v>0</v>
      </c>
      <c r="G5" s="10">
        <f>25</f>
        <v>25</v>
      </c>
      <c r="H5" s="11" t="e">
        <f>G5/F5</f>
        <v>#DIV/0!</v>
      </c>
      <c r="I5" s="10"/>
      <c r="J5" s="10"/>
    </row>
    <row r="6" spans="1:10" x14ac:dyDescent="0.25">
      <c r="A6" s="3" t="s">
        <v>23</v>
      </c>
      <c r="B6" s="12">
        <v>109</v>
      </c>
      <c r="C6" s="12">
        <v>39</v>
      </c>
      <c r="D6" s="12">
        <v>200</v>
      </c>
      <c r="E6" s="11">
        <f>D6/C6</f>
        <v>5.1282051282051286</v>
      </c>
      <c r="F6" s="12">
        <v>236</v>
      </c>
      <c r="G6" s="12">
        <v>3598</v>
      </c>
      <c r="H6" s="11">
        <f>G6/F6</f>
        <v>15.245762711864407</v>
      </c>
      <c r="I6" s="12"/>
      <c r="J6" s="12"/>
    </row>
    <row r="7" spans="1:10" x14ac:dyDescent="0.25">
      <c r="A7" s="3" t="s">
        <v>254</v>
      </c>
      <c r="B7" s="12">
        <v>1</v>
      </c>
      <c r="C7" s="12"/>
      <c r="D7" s="12"/>
      <c r="E7" s="11" t="s">
        <v>273</v>
      </c>
      <c r="F7" s="12">
        <v>2</v>
      </c>
      <c r="G7" s="12">
        <v>64</v>
      </c>
      <c r="H7" s="11">
        <f>G7/F7</f>
        <v>32</v>
      </c>
      <c r="I7" s="12"/>
      <c r="J7" s="12"/>
    </row>
    <row r="8" spans="1:10" x14ac:dyDescent="0.25">
      <c r="A8" s="3" t="s">
        <v>13</v>
      </c>
      <c r="B8" s="12">
        <v>171</v>
      </c>
      <c r="C8" s="12">
        <v>112</v>
      </c>
      <c r="D8" s="12">
        <v>1525</v>
      </c>
      <c r="E8" s="11">
        <f>D8/C8</f>
        <v>13.616071428571429</v>
      </c>
      <c r="F8" s="12">
        <v>613</v>
      </c>
      <c r="G8" s="12">
        <v>7135</v>
      </c>
      <c r="H8" s="11">
        <f>G8/F8</f>
        <v>11.639477977161501</v>
      </c>
      <c r="I8" s="12">
        <v>82</v>
      </c>
      <c r="J8" s="12"/>
    </row>
    <row r="9" spans="1:10" x14ac:dyDescent="0.25">
      <c r="A9" s="3" t="s">
        <v>140</v>
      </c>
      <c r="B9" s="12">
        <v>11</v>
      </c>
      <c r="C9" s="12">
        <v>11</v>
      </c>
      <c r="D9" s="12">
        <v>294</v>
      </c>
      <c r="E9" s="11">
        <f>D9/C9</f>
        <v>26.727272727272727</v>
      </c>
      <c r="F9" s="12"/>
      <c r="G9" s="12"/>
      <c r="H9" s="11" t="e">
        <f>G9/F9</f>
        <v>#DIV/0!</v>
      </c>
      <c r="I9" s="12">
        <v>2</v>
      </c>
      <c r="J9" s="12"/>
    </row>
    <row r="10" spans="1:10" x14ac:dyDescent="0.25">
      <c r="A10" s="4" t="s">
        <v>22</v>
      </c>
      <c r="B10" s="10">
        <v>121</v>
      </c>
      <c r="C10" s="10">
        <v>129</v>
      </c>
      <c r="D10" s="10">
        <v>3679</v>
      </c>
      <c r="E10" s="11">
        <f>D10/C10</f>
        <v>28.519379844961239</v>
      </c>
      <c r="F10" s="10">
        <v>0</v>
      </c>
      <c r="G10" s="10">
        <v>40</v>
      </c>
      <c r="H10" s="11" t="e">
        <f>G10/F10</f>
        <v>#DIV/0!</v>
      </c>
      <c r="I10" s="10">
        <v>62</v>
      </c>
      <c r="J10" s="10"/>
    </row>
    <row r="11" spans="1:10" x14ac:dyDescent="0.25">
      <c r="A11" s="3" t="s">
        <v>21</v>
      </c>
      <c r="B11" s="12">
        <v>121</v>
      </c>
      <c r="C11" s="12">
        <v>138</v>
      </c>
      <c r="D11" s="12">
        <v>4817</v>
      </c>
      <c r="E11" s="11">
        <f>D11/C11</f>
        <v>34.905797101449274</v>
      </c>
      <c r="F11" s="12">
        <v>1</v>
      </c>
      <c r="G11" s="12">
        <v>18</v>
      </c>
      <c r="H11" s="11">
        <f>G11/F11</f>
        <v>18</v>
      </c>
      <c r="I11" s="12">
        <v>66</v>
      </c>
      <c r="J11" s="12">
        <v>4</v>
      </c>
    </row>
    <row r="12" spans="1:10" x14ac:dyDescent="0.25">
      <c r="A12" s="3" t="s">
        <v>114</v>
      </c>
      <c r="B12" s="12">
        <v>16</v>
      </c>
      <c r="C12" s="12">
        <v>16</v>
      </c>
      <c r="D12" s="12">
        <v>350</v>
      </c>
      <c r="E12" s="11">
        <f>D12/C12</f>
        <v>21.875</v>
      </c>
      <c r="F12" s="12"/>
      <c r="G12" s="12"/>
      <c r="H12" s="11" t="e">
        <f>G12/F12</f>
        <v>#DIV/0!</v>
      </c>
      <c r="I12" s="12">
        <v>7</v>
      </c>
      <c r="J12" s="12"/>
    </row>
    <row r="13" spans="1:10" x14ac:dyDescent="0.25">
      <c r="A13" s="3" t="s">
        <v>123</v>
      </c>
      <c r="B13" s="12">
        <v>15</v>
      </c>
      <c r="C13" s="12">
        <v>15</v>
      </c>
      <c r="D13" s="12">
        <v>71</v>
      </c>
      <c r="E13" s="11">
        <f>D13/C13</f>
        <v>4.7333333333333334</v>
      </c>
      <c r="F13" s="12">
        <v>4</v>
      </c>
      <c r="G13" s="12">
        <v>78</v>
      </c>
      <c r="H13" s="11">
        <f>G13/F13</f>
        <v>19.5</v>
      </c>
      <c r="I13" s="12">
        <v>10</v>
      </c>
      <c r="J13" s="12"/>
    </row>
    <row r="14" spans="1:10" x14ac:dyDescent="0.25">
      <c r="A14" s="3" t="s">
        <v>190</v>
      </c>
      <c r="B14" s="12">
        <v>5</v>
      </c>
      <c r="C14" s="12">
        <v>5</v>
      </c>
      <c r="D14" s="12">
        <v>26</v>
      </c>
      <c r="E14" s="11">
        <f>D14/C14</f>
        <v>5.2</v>
      </c>
      <c r="F14" s="12"/>
      <c r="G14" s="12"/>
      <c r="H14" s="11" t="e">
        <f>G14/F14</f>
        <v>#DIV/0!</v>
      </c>
      <c r="I14" s="12">
        <v>2</v>
      </c>
      <c r="J14" s="12"/>
    </row>
    <row r="15" spans="1:10" s="24" customFormat="1" x14ac:dyDescent="0.25">
      <c r="A15" s="3" t="s">
        <v>94</v>
      </c>
      <c r="B15" s="12">
        <v>23</v>
      </c>
      <c r="C15" s="12">
        <v>11</v>
      </c>
      <c r="D15" s="12">
        <v>140</v>
      </c>
      <c r="E15" s="11">
        <f>D15/C15</f>
        <v>12.727272727272727</v>
      </c>
      <c r="F15" s="12">
        <v>32</v>
      </c>
      <c r="G15" s="12">
        <v>719</v>
      </c>
      <c r="H15" s="11">
        <f>G15/F15</f>
        <v>22.46875</v>
      </c>
      <c r="I15" s="12">
        <v>14</v>
      </c>
      <c r="J15" s="12"/>
    </row>
    <row r="16" spans="1:10" x14ac:dyDescent="0.25">
      <c r="A16" s="4" t="s">
        <v>297</v>
      </c>
      <c r="B16" s="10">
        <f>2+8+3</f>
        <v>13</v>
      </c>
      <c r="C16" s="10">
        <f>1+6+3</f>
        <v>10</v>
      </c>
      <c r="D16" s="10">
        <f>24+51+22</f>
        <v>97</v>
      </c>
      <c r="E16" s="11">
        <f>D16/C16</f>
        <v>9.6999999999999993</v>
      </c>
      <c r="F16" s="10"/>
      <c r="G16" s="10"/>
      <c r="H16" s="11"/>
      <c r="I16" s="10">
        <f>2+2</f>
        <v>4</v>
      </c>
      <c r="J16" s="10"/>
    </row>
    <row r="17" spans="1:10" x14ac:dyDescent="0.25">
      <c r="A17" s="3" t="s">
        <v>104</v>
      </c>
      <c r="B17" s="12">
        <v>19</v>
      </c>
      <c r="C17" s="12">
        <v>23</v>
      </c>
      <c r="D17" s="12">
        <v>427</v>
      </c>
      <c r="E17" s="11">
        <f>D17/C17</f>
        <v>18.565217391304348</v>
      </c>
      <c r="F17" s="12">
        <v>5</v>
      </c>
      <c r="G17" s="12">
        <v>52</v>
      </c>
      <c r="H17" s="11">
        <f>G17/F17</f>
        <v>10.4</v>
      </c>
      <c r="I17" s="12">
        <v>12</v>
      </c>
      <c r="J17" s="12"/>
    </row>
    <row r="18" spans="1:10" s="8" customFormat="1" x14ac:dyDescent="0.25">
      <c r="A18" s="6" t="s">
        <v>317</v>
      </c>
      <c r="B18" s="13">
        <f>6</f>
        <v>6</v>
      </c>
      <c r="C18" s="13">
        <f>6</f>
        <v>6</v>
      </c>
      <c r="D18" s="13">
        <f>39</f>
        <v>39</v>
      </c>
      <c r="E18" s="14">
        <f>D18/C18</f>
        <v>6.5</v>
      </c>
      <c r="F18" s="13"/>
      <c r="G18" s="13"/>
      <c r="H18" s="14"/>
      <c r="I18" s="13">
        <f>1</f>
        <v>1</v>
      </c>
      <c r="J18" s="13"/>
    </row>
    <row r="19" spans="1:10" s="8" customFormat="1" x14ac:dyDescent="0.25">
      <c r="A19" s="3" t="s">
        <v>258</v>
      </c>
      <c r="B19" s="12">
        <v>1</v>
      </c>
      <c r="C19" s="12"/>
      <c r="D19" s="12"/>
      <c r="E19" s="11" t="s">
        <v>273</v>
      </c>
      <c r="F19" s="12"/>
      <c r="G19" s="12"/>
      <c r="H19" s="11" t="e">
        <f>G19/F19</f>
        <v>#DIV/0!</v>
      </c>
      <c r="I19" s="12">
        <v>2</v>
      </c>
      <c r="J19" s="12"/>
    </row>
    <row r="20" spans="1:10" x14ac:dyDescent="0.25">
      <c r="A20" s="6" t="s">
        <v>63</v>
      </c>
      <c r="B20" s="13">
        <f>119+18+14+6+5+5+3+2</f>
        <v>172</v>
      </c>
      <c r="C20" s="13">
        <f>121+20+16+6+5+6+4+4</f>
        <v>182</v>
      </c>
      <c r="D20" s="13">
        <f>337+1067+384+347+666+556+695+511+228+260+291+85+24</f>
        <v>5451</v>
      </c>
      <c r="E20" s="14">
        <f>D20/C20</f>
        <v>29.950549450549449</v>
      </c>
      <c r="F20" s="13">
        <f>1+0</f>
        <v>1</v>
      </c>
      <c r="G20" s="13">
        <f>25+14+7+2+3+0</f>
        <v>51</v>
      </c>
      <c r="H20" s="14">
        <f>G20/F20</f>
        <v>51</v>
      </c>
      <c r="I20" s="13">
        <f>22+33+8+9+14+14+11+2+6+2+3+3</f>
        <v>127</v>
      </c>
      <c r="J20" s="13">
        <f>1</f>
        <v>1</v>
      </c>
    </row>
    <row r="21" spans="1:10" x14ac:dyDescent="0.25">
      <c r="A21" s="3" t="s">
        <v>262</v>
      </c>
      <c r="B21" s="12">
        <v>1</v>
      </c>
      <c r="C21" s="12"/>
      <c r="D21" s="12"/>
      <c r="E21" s="11" t="s">
        <v>273</v>
      </c>
      <c r="F21" s="12"/>
      <c r="G21" s="12"/>
      <c r="H21" s="11" t="e">
        <f>G21/F21</f>
        <v>#DIV/0!</v>
      </c>
      <c r="I21" s="12"/>
      <c r="J21" s="12"/>
    </row>
    <row r="22" spans="1:10" x14ac:dyDescent="0.25">
      <c r="A22" s="3" t="s">
        <v>132</v>
      </c>
      <c r="B22" s="12">
        <v>13</v>
      </c>
      <c r="C22" s="12">
        <v>12</v>
      </c>
      <c r="D22" s="12">
        <v>271</v>
      </c>
      <c r="E22" s="11">
        <f>D22/C22</f>
        <v>22.583333333333332</v>
      </c>
      <c r="F22" s="12">
        <v>1</v>
      </c>
      <c r="G22" s="12">
        <v>25</v>
      </c>
      <c r="H22" s="11">
        <f>G22/F22</f>
        <v>25</v>
      </c>
      <c r="I22" s="12">
        <v>3</v>
      </c>
      <c r="J22" s="12"/>
    </row>
    <row r="23" spans="1:10" s="24" customFormat="1" x14ac:dyDescent="0.25">
      <c r="A23" s="3" t="s">
        <v>176</v>
      </c>
      <c r="B23" s="12">
        <v>6</v>
      </c>
      <c r="C23" s="12">
        <v>6</v>
      </c>
      <c r="D23" s="12">
        <v>71</v>
      </c>
      <c r="E23" s="11">
        <f>D23/C23</f>
        <v>11.833333333333334</v>
      </c>
      <c r="F23" s="12"/>
      <c r="G23" s="12"/>
      <c r="H23" s="11" t="e">
        <f>G23/F23</f>
        <v>#DIV/0!</v>
      </c>
      <c r="I23" s="12"/>
      <c r="J23" s="12"/>
    </row>
    <row r="24" spans="1:10" x14ac:dyDescent="0.25">
      <c r="A24" s="21" t="s">
        <v>298</v>
      </c>
      <c r="B24" s="22">
        <f>9+2+11+14+13</f>
        <v>49</v>
      </c>
      <c r="C24" s="22">
        <f>3+2+6+12+8</f>
        <v>31</v>
      </c>
      <c r="D24" s="22">
        <f>25+9+23+77+46</f>
        <v>180</v>
      </c>
      <c r="E24" s="23">
        <f>D24/C24</f>
        <v>5.806451612903226</v>
      </c>
      <c r="F24" s="22">
        <f>13+4+18+22+23</f>
        <v>80</v>
      </c>
      <c r="G24" s="22">
        <f>265+98+380+528+509</f>
        <v>1780</v>
      </c>
      <c r="H24" s="23">
        <f>G24/F24</f>
        <v>22.25</v>
      </c>
      <c r="I24" s="22">
        <f>3+2+3+5+4</f>
        <v>17</v>
      </c>
      <c r="J24" s="22"/>
    </row>
    <row r="25" spans="1:10" x14ac:dyDescent="0.25">
      <c r="A25" s="3" t="s">
        <v>203</v>
      </c>
      <c r="B25" s="12">
        <v>3</v>
      </c>
      <c r="C25" s="12">
        <v>3</v>
      </c>
      <c r="D25" s="12">
        <v>46</v>
      </c>
      <c r="E25" s="11">
        <f>D25/C25</f>
        <v>15.333333333333334</v>
      </c>
      <c r="F25" s="12"/>
      <c r="G25" s="12"/>
      <c r="H25" s="11" t="e">
        <f>G25/F25</f>
        <v>#DIV/0!</v>
      </c>
      <c r="I25" s="12">
        <v>2</v>
      </c>
      <c r="J25" s="12"/>
    </row>
    <row r="26" spans="1:10" s="7" customFormat="1" x14ac:dyDescent="0.25">
      <c r="A26" s="3" t="s">
        <v>245</v>
      </c>
      <c r="B26" s="12">
        <v>1</v>
      </c>
      <c r="C26" s="12">
        <v>1</v>
      </c>
      <c r="D26" s="12">
        <v>4</v>
      </c>
      <c r="E26" s="11">
        <f>D26/C26</f>
        <v>4</v>
      </c>
      <c r="F26" s="12"/>
      <c r="G26" s="12"/>
      <c r="H26" s="11" t="e">
        <f>G26/F26</f>
        <v>#DIV/0!</v>
      </c>
      <c r="I26" s="12"/>
      <c r="J26" s="12"/>
    </row>
    <row r="27" spans="1:10" x14ac:dyDescent="0.25">
      <c r="A27" s="4" t="s">
        <v>45</v>
      </c>
      <c r="B27" s="10">
        <f>62+7+17+16+14+14</f>
        <v>130</v>
      </c>
      <c r="C27" s="10">
        <f>54+6+19+11+14+12</f>
        <v>116</v>
      </c>
      <c r="D27" s="10">
        <f>643+61+356+264+208+260</f>
        <v>1792</v>
      </c>
      <c r="E27" s="11">
        <f>D27/C27</f>
        <v>15.448275862068966</v>
      </c>
      <c r="F27" s="10">
        <f>86+2+20+11+13+12</f>
        <v>144</v>
      </c>
      <c r="G27" s="10">
        <f>2125+109+321+376+451+395</f>
        <v>3777</v>
      </c>
      <c r="H27" s="11">
        <f>G27/F27</f>
        <v>26.229166666666668</v>
      </c>
      <c r="I27" s="10">
        <f>37+2+3+10+3+7</f>
        <v>62</v>
      </c>
      <c r="J27" s="10"/>
    </row>
    <row r="28" spans="1:10" x14ac:dyDescent="0.25">
      <c r="A28" s="3" t="s">
        <v>197</v>
      </c>
      <c r="B28" s="12">
        <v>4</v>
      </c>
      <c r="C28" s="12">
        <v>3</v>
      </c>
      <c r="D28" s="12">
        <v>27</v>
      </c>
      <c r="E28" s="11">
        <f>D28/C28</f>
        <v>9</v>
      </c>
      <c r="F28" s="12"/>
      <c r="G28" s="12"/>
      <c r="H28" s="11" t="e">
        <f>G28/F28</f>
        <v>#DIV/0!</v>
      </c>
      <c r="I28" s="12">
        <v>2</v>
      </c>
      <c r="J28" s="12"/>
    </row>
    <row r="29" spans="1:10" x14ac:dyDescent="0.25">
      <c r="A29" s="3" t="s">
        <v>111</v>
      </c>
      <c r="B29" s="12">
        <v>17</v>
      </c>
      <c r="C29" s="12">
        <v>18</v>
      </c>
      <c r="D29" s="12">
        <v>357</v>
      </c>
      <c r="E29" s="11">
        <f>D29/C29</f>
        <v>19.833333333333332</v>
      </c>
      <c r="F29" s="12">
        <v>2</v>
      </c>
      <c r="G29" s="12">
        <v>34</v>
      </c>
      <c r="H29" s="11">
        <f>G29/F29</f>
        <v>17</v>
      </c>
      <c r="I29" s="12">
        <v>9</v>
      </c>
      <c r="J29" s="12"/>
    </row>
    <row r="30" spans="1:10" x14ac:dyDescent="0.25">
      <c r="A30" s="3" t="s">
        <v>74</v>
      </c>
      <c r="B30" s="12">
        <v>30</v>
      </c>
      <c r="C30" s="12">
        <v>30</v>
      </c>
      <c r="D30" s="12">
        <v>457</v>
      </c>
      <c r="E30" s="11">
        <f>D30/C30</f>
        <v>15.233333333333333</v>
      </c>
      <c r="F30" s="12">
        <v>33</v>
      </c>
      <c r="G30" s="12">
        <v>451</v>
      </c>
      <c r="H30" s="11">
        <f>G30/F30</f>
        <v>13.666666666666666</v>
      </c>
      <c r="I30" s="12">
        <v>15</v>
      </c>
      <c r="J30" s="12"/>
    </row>
    <row r="31" spans="1:10" x14ac:dyDescent="0.25">
      <c r="A31" s="3" t="s">
        <v>184</v>
      </c>
      <c r="B31" s="12">
        <v>5</v>
      </c>
      <c r="C31" s="12">
        <v>4</v>
      </c>
      <c r="D31" s="12">
        <v>60</v>
      </c>
      <c r="E31" s="11">
        <f>D31/C31</f>
        <v>15</v>
      </c>
      <c r="F31" s="12">
        <v>7</v>
      </c>
      <c r="G31" s="12">
        <v>69</v>
      </c>
      <c r="H31" s="11">
        <f>G31/F31</f>
        <v>9.8571428571428577</v>
      </c>
      <c r="I31" s="12"/>
      <c r="J31" s="12"/>
    </row>
    <row r="32" spans="1:10" x14ac:dyDescent="0.25">
      <c r="A32" s="3" t="s">
        <v>171</v>
      </c>
      <c r="B32" s="12">
        <v>7</v>
      </c>
      <c r="C32" s="12">
        <v>5</v>
      </c>
      <c r="D32" s="12">
        <v>31</v>
      </c>
      <c r="E32" s="11">
        <f>D32/C32</f>
        <v>6.2</v>
      </c>
      <c r="F32" s="12">
        <v>2</v>
      </c>
      <c r="G32" s="12">
        <v>62</v>
      </c>
      <c r="H32" s="11">
        <f>G32/F32</f>
        <v>31</v>
      </c>
      <c r="I32" s="12">
        <v>2</v>
      </c>
      <c r="J32" s="12"/>
    </row>
    <row r="33" spans="1:10" x14ac:dyDescent="0.25">
      <c r="A33" s="4" t="s">
        <v>59</v>
      </c>
      <c r="B33" s="10">
        <v>47</v>
      </c>
      <c r="C33" s="10">
        <v>41</v>
      </c>
      <c r="D33" s="10">
        <v>1118</v>
      </c>
      <c r="E33" s="11">
        <f>D33/C33</f>
        <v>27.26829268292683</v>
      </c>
      <c r="F33" s="10">
        <v>2</v>
      </c>
      <c r="G33" s="10">
        <v>31</v>
      </c>
      <c r="H33" s="11">
        <f>G33/F33</f>
        <v>15.5</v>
      </c>
      <c r="I33" s="10">
        <v>54</v>
      </c>
      <c r="J33" s="10">
        <v>14</v>
      </c>
    </row>
    <row r="34" spans="1:10" x14ac:dyDescent="0.25">
      <c r="A34" s="4" t="s">
        <v>249</v>
      </c>
      <c r="B34" s="10">
        <v>1</v>
      </c>
      <c r="C34" s="10">
        <v>1</v>
      </c>
      <c r="D34" s="10">
        <v>0</v>
      </c>
      <c r="E34" s="11">
        <f>D34/C34</f>
        <v>0</v>
      </c>
      <c r="F34" s="10">
        <v>0</v>
      </c>
      <c r="G34" s="10">
        <v>0</v>
      </c>
      <c r="H34" s="11" t="e">
        <f>G34/F34</f>
        <v>#DIV/0!</v>
      </c>
      <c r="I34" s="10">
        <v>0</v>
      </c>
      <c r="J34" s="10">
        <v>0</v>
      </c>
    </row>
    <row r="35" spans="1:10" x14ac:dyDescent="0.25">
      <c r="A35" s="4" t="s">
        <v>67</v>
      </c>
      <c r="B35" s="10">
        <v>36</v>
      </c>
      <c r="C35" s="10">
        <v>38</v>
      </c>
      <c r="D35" s="10">
        <v>458</v>
      </c>
      <c r="E35" s="11">
        <f>D35/C35</f>
        <v>12.052631578947368</v>
      </c>
      <c r="F35" s="10">
        <v>51</v>
      </c>
      <c r="G35" s="10">
        <v>1051</v>
      </c>
      <c r="H35" s="11">
        <f>G35/F35</f>
        <v>20.607843137254903</v>
      </c>
      <c r="I35" s="10">
        <v>19</v>
      </c>
      <c r="J35" s="10"/>
    </row>
    <row r="36" spans="1:10" x14ac:dyDescent="0.25">
      <c r="A36" s="3" t="s">
        <v>164</v>
      </c>
      <c r="B36" s="12">
        <v>8</v>
      </c>
      <c r="C36" s="12"/>
      <c r="D36" s="12"/>
      <c r="E36" s="11" t="s">
        <v>273</v>
      </c>
      <c r="F36" s="12">
        <v>17</v>
      </c>
      <c r="G36" s="12">
        <v>234</v>
      </c>
      <c r="H36" s="11">
        <f>G36/F36</f>
        <v>13.764705882352942</v>
      </c>
      <c r="I36" s="12">
        <v>5</v>
      </c>
      <c r="J36" s="12"/>
    </row>
    <row r="37" spans="1:10" x14ac:dyDescent="0.25">
      <c r="A37" s="3" t="s">
        <v>69</v>
      </c>
      <c r="B37" s="12">
        <v>35</v>
      </c>
      <c r="C37" s="12">
        <v>40</v>
      </c>
      <c r="D37" s="12">
        <v>715</v>
      </c>
      <c r="E37" s="11">
        <f>D37/C37</f>
        <v>17.875</v>
      </c>
      <c r="F37" s="12">
        <v>0</v>
      </c>
      <c r="G37" s="12">
        <v>13</v>
      </c>
      <c r="H37" s="11" t="e">
        <f>G37/F37</f>
        <v>#DIV/0!</v>
      </c>
      <c r="I37" s="12">
        <v>10</v>
      </c>
      <c r="J37" s="12"/>
    </row>
    <row r="38" spans="1:10" x14ac:dyDescent="0.25">
      <c r="A38" s="3" t="s">
        <v>236</v>
      </c>
      <c r="B38" s="12">
        <v>2</v>
      </c>
      <c r="C38" s="12"/>
      <c r="D38" s="12"/>
      <c r="E38" s="11" t="s">
        <v>273</v>
      </c>
      <c r="F38" s="12"/>
      <c r="G38" s="12"/>
      <c r="H38" s="11" t="e">
        <f>G38/F38</f>
        <v>#DIV/0!</v>
      </c>
      <c r="I38" s="12">
        <v>3</v>
      </c>
      <c r="J38" s="12"/>
    </row>
    <row r="39" spans="1:10" s="8" customFormat="1" x14ac:dyDescent="0.25">
      <c r="A39" s="3" t="s">
        <v>110</v>
      </c>
      <c r="B39" s="12">
        <v>17</v>
      </c>
      <c r="C39" s="12">
        <v>18</v>
      </c>
      <c r="D39" s="12">
        <v>406</v>
      </c>
      <c r="E39" s="11">
        <f>D39/C39</f>
        <v>22.555555555555557</v>
      </c>
      <c r="F39" s="12">
        <v>13</v>
      </c>
      <c r="G39" s="12">
        <v>79</v>
      </c>
      <c r="H39" s="11">
        <f>G39/F39</f>
        <v>6.0769230769230766</v>
      </c>
      <c r="I39" s="12">
        <v>20</v>
      </c>
      <c r="J39" s="12"/>
    </row>
    <row r="40" spans="1:10" s="8" customFormat="1" x14ac:dyDescent="0.25">
      <c r="A40" s="3" t="s">
        <v>250</v>
      </c>
      <c r="B40" s="12">
        <v>1</v>
      </c>
      <c r="C40" s="12">
        <v>1</v>
      </c>
      <c r="D40" s="12">
        <v>0</v>
      </c>
      <c r="E40" s="11">
        <f>D40/C40</f>
        <v>0</v>
      </c>
      <c r="F40" s="12"/>
      <c r="G40" s="12"/>
      <c r="H40" s="11" t="e">
        <f>G40/F40</f>
        <v>#DIV/0!</v>
      </c>
      <c r="I40" s="12"/>
      <c r="J40" s="12"/>
    </row>
    <row r="41" spans="1:10" s="7" customFormat="1" x14ac:dyDescent="0.25">
      <c r="A41" s="3" t="s">
        <v>244</v>
      </c>
      <c r="B41" s="12">
        <v>1</v>
      </c>
      <c r="C41" s="12">
        <v>1</v>
      </c>
      <c r="D41" s="12">
        <v>4</v>
      </c>
      <c r="E41" s="11">
        <f>D41/C41</f>
        <v>4</v>
      </c>
      <c r="F41" s="12"/>
      <c r="G41" s="12"/>
      <c r="H41" s="11" t="e">
        <f>G41/F41</f>
        <v>#DIV/0!</v>
      </c>
      <c r="I41" s="12">
        <v>1</v>
      </c>
      <c r="J41" s="12"/>
    </row>
    <row r="42" spans="1:10" s="7" customFormat="1" x14ac:dyDescent="0.25">
      <c r="A42" s="4" t="s">
        <v>282</v>
      </c>
      <c r="B42" s="10">
        <f>23+4+18+14+2+15</f>
        <v>76</v>
      </c>
      <c r="C42" s="10">
        <f>20+4+20+13+3+16</f>
        <v>76</v>
      </c>
      <c r="D42" s="10">
        <f>161+73+50+374+329+15+293</f>
        <v>1295</v>
      </c>
      <c r="E42" s="11">
        <f>D42/C42</f>
        <v>17.039473684210527</v>
      </c>
      <c r="F42" s="10">
        <f>3+4+1+0+1+0</f>
        <v>9</v>
      </c>
      <c r="G42" s="10">
        <f>178+243+11+22+7+14</f>
        <v>475</v>
      </c>
      <c r="H42" s="11">
        <f>G42/F42</f>
        <v>52.777777777777779</v>
      </c>
      <c r="I42" s="10">
        <f>1+4+12+8+12</f>
        <v>37</v>
      </c>
      <c r="J42" s="10"/>
    </row>
    <row r="43" spans="1:10" x14ac:dyDescent="0.25">
      <c r="A43" s="4" t="s">
        <v>276</v>
      </c>
      <c r="B43" s="10">
        <f>12+13+8+14</f>
        <v>47</v>
      </c>
      <c r="C43" s="10">
        <f>7+8+5+6</f>
        <v>26</v>
      </c>
      <c r="D43" s="10">
        <f>55+87+74+110</f>
        <v>326</v>
      </c>
      <c r="E43" s="11">
        <f>D43/C43</f>
        <v>12.538461538461538</v>
      </c>
      <c r="F43" s="10">
        <f>3+2+12+9+16</f>
        <v>42</v>
      </c>
      <c r="G43" s="10">
        <f>115+91+298+218+420</f>
        <v>1142</v>
      </c>
      <c r="H43" s="11">
        <f>G43/F43</f>
        <v>27.19047619047619</v>
      </c>
      <c r="I43" s="10">
        <f>2+1+8+4+2</f>
        <v>17</v>
      </c>
      <c r="J43" s="10"/>
    </row>
    <row r="44" spans="1:10" x14ac:dyDescent="0.25">
      <c r="A44" s="3" t="s">
        <v>39</v>
      </c>
      <c r="B44" s="12">
        <v>65</v>
      </c>
      <c r="C44" s="12">
        <v>74</v>
      </c>
      <c r="D44" s="12">
        <v>2301</v>
      </c>
      <c r="E44" s="11">
        <f>D44/C44</f>
        <v>31.094594594594593</v>
      </c>
      <c r="F44" s="12">
        <v>2</v>
      </c>
      <c r="G44" s="12">
        <v>43</v>
      </c>
      <c r="H44" s="11">
        <f>G44/F44</f>
        <v>21.5</v>
      </c>
      <c r="I44" s="12">
        <v>27</v>
      </c>
      <c r="J44" s="12"/>
    </row>
    <row r="45" spans="1:10" x14ac:dyDescent="0.25">
      <c r="A45" s="3" t="s">
        <v>79</v>
      </c>
      <c r="B45" s="12">
        <v>27</v>
      </c>
      <c r="C45" s="12">
        <v>28</v>
      </c>
      <c r="D45" s="12">
        <v>494</v>
      </c>
      <c r="E45" s="11">
        <f>D45/C45</f>
        <v>17.642857142857142</v>
      </c>
      <c r="F45" s="12"/>
      <c r="G45" s="12"/>
      <c r="H45" s="11" t="e">
        <f>G45/F45</f>
        <v>#DIV/0!</v>
      </c>
      <c r="I45" s="12">
        <v>11</v>
      </c>
      <c r="J45" s="12">
        <v>1</v>
      </c>
    </row>
    <row r="46" spans="1:10" x14ac:dyDescent="0.25">
      <c r="A46" s="3" t="s">
        <v>224</v>
      </c>
      <c r="B46" s="12">
        <v>2</v>
      </c>
      <c r="C46" s="12">
        <v>3</v>
      </c>
      <c r="D46" s="12">
        <v>39</v>
      </c>
      <c r="E46" s="11">
        <f>D46/C46</f>
        <v>13</v>
      </c>
      <c r="F46" s="12"/>
      <c r="G46" s="12"/>
      <c r="H46" s="11" t="e">
        <f>G46/F46</f>
        <v>#DIV/0!</v>
      </c>
      <c r="I46" s="12">
        <v>1</v>
      </c>
      <c r="J46" s="12"/>
    </row>
    <row r="47" spans="1:10" x14ac:dyDescent="0.25">
      <c r="A47" s="3" t="s">
        <v>167</v>
      </c>
      <c r="B47" s="12">
        <v>7</v>
      </c>
      <c r="C47" s="12">
        <v>6</v>
      </c>
      <c r="D47" s="12">
        <v>72</v>
      </c>
      <c r="E47" s="11">
        <f>D47/C47</f>
        <v>12</v>
      </c>
      <c r="F47" s="12"/>
      <c r="G47" s="12"/>
      <c r="H47" s="11" t="e">
        <f>G47/F47</f>
        <v>#DIV/0!</v>
      </c>
      <c r="I47" s="12">
        <v>2</v>
      </c>
      <c r="J47" s="12"/>
    </row>
    <row r="48" spans="1:10" s="8" customFormat="1" x14ac:dyDescent="0.25">
      <c r="A48" s="3" t="s">
        <v>137</v>
      </c>
      <c r="B48" s="12">
        <v>12</v>
      </c>
      <c r="C48" s="12">
        <v>13</v>
      </c>
      <c r="D48" s="12">
        <v>629</v>
      </c>
      <c r="E48" s="11">
        <f>D48/C48</f>
        <v>48.384615384615387</v>
      </c>
      <c r="F48" s="12">
        <v>0</v>
      </c>
      <c r="G48" s="12">
        <v>44</v>
      </c>
      <c r="H48" s="11" t="e">
        <f>G48/F48</f>
        <v>#DIV/0!</v>
      </c>
      <c r="I48" s="12">
        <v>4</v>
      </c>
      <c r="J48" s="12"/>
    </row>
    <row r="49" spans="1:10" s="8" customFormat="1" x14ac:dyDescent="0.25">
      <c r="A49" s="6" t="s">
        <v>290</v>
      </c>
      <c r="B49" s="13">
        <f>16+4+1+12+14+15</f>
        <v>62</v>
      </c>
      <c r="C49" s="13">
        <f>10+4+0+10+18+16</f>
        <v>58</v>
      </c>
      <c r="D49" s="13">
        <f>60+59+3+129+256+188</f>
        <v>695</v>
      </c>
      <c r="E49" s="14">
        <f>D49/C49</f>
        <v>11.982758620689655</v>
      </c>
      <c r="F49" s="13"/>
      <c r="G49" s="13"/>
      <c r="H49" s="14"/>
      <c r="I49" s="13">
        <f>22+5+3+15+19+15</f>
        <v>79</v>
      </c>
      <c r="J49" s="13">
        <f>3+1+1+6+5+6</f>
        <v>22</v>
      </c>
    </row>
    <row r="50" spans="1:10" x14ac:dyDescent="0.25">
      <c r="A50" s="6" t="s">
        <v>311</v>
      </c>
      <c r="B50" s="13">
        <f>3+10</f>
        <v>13</v>
      </c>
      <c r="C50" s="13">
        <f>0+6</f>
        <v>6</v>
      </c>
      <c r="D50" s="13">
        <f>1+18</f>
        <v>19</v>
      </c>
      <c r="E50" s="14">
        <f>D50/C50</f>
        <v>3.1666666666666665</v>
      </c>
      <c r="F50" s="13">
        <f>2+11</f>
        <v>13</v>
      </c>
      <c r="G50" s="13">
        <f>103+411</f>
        <v>514</v>
      </c>
      <c r="H50" s="14">
        <f>G50/F50</f>
        <v>39.53846153846154</v>
      </c>
      <c r="I50" s="13"/>
      <c r="J50" s="13"/>
    </row>
    <row r="51" spans="1:10" x14ac:dyDescent="0.25">
      <c r="A51" s="3" t="s">
        <v>87</v>
      </c>
      <c r="B51" s="12">
        <v>25</v>
      </c>
      <c r="C51" s="12">
        <v>22</v>
      </c>
      <c r="D51" s="12">
        <v>203</v>
      </c>
      <c r="E51" s="11">
        <f>D51/C51</f>
        <v>9.2272727272727266</v>
      </c>
      <c r="F51" s="12">
        <v>2</v>
      </c>
      <c r="G51" s="12">
        <v>69</v>
      </c>
      <c r="H51" s="11">
        <f>G51/F51</f>
        <v>34.5</v>
      </c>
      <c r="I51" s="12">
        <v>20</v>
      </c>
      <c r="J51" s="12">
        <v>9</v>
      </c>
    </row>
    <row r="52" spans="1:10" x14ac:dyDescent="0.25">
      <c r="A52" s="3" t="s">
        <v>196</v>
      </c>
      <c r="B52" s="12">
        <v>4</v>
      </c>
      <c r="C52" s="12">
        <v>6</v>
      </c>
      <c r="D52" s="12">
        <v>55</v>
      </c>
      <c r="E52" s="11">
        <f>D52/C52</f>
        <v>9.1666666666666661</v>
      </c>
      <c r="F52" s="12">
        <v>0</v>
      </c>
      <c r="G52" s="12">
        <v>14</v>
      </c>
      <c r="H52" s="11" t="e">
        <f>G52/F52</f>
        <v>#DIV/0!</v>
      </c>
      <c r="I52" s="12">
        <v>5</v>
      </c>
      <c r="J52" s="12"/>
    </row>
    <row r="53" spans="1:10" x14ac:dyDescent="0.25">
      <c r="A53" s="3" t="s">
        <v>19</v>
      </c>
      <c r="B53" s="12">
        <v>130</v>
      </c>
      <c r="C53" s="12">
        <v>149</v>
      </c>
      <c r="D53" s="12">
        <v>3063</v>
      </c>
      <c r="E53" s="11">
        <f>D53/C53</f>
        <v>20.55704697986577</v>
      </c>
      <c r="F53" s="12">
        <v>1</v>
      </c>
      <c r="G53" s="12">
        <v>76</v>
      </c>
      <c r="H53" s="11">
        <f>G53/F53</f>
        <v>76</v>
      </c>
      <c r="I53" s="12">
        <v>73</v>
      </c>
      <c r="J53" s="12">
        <v>1</v>
      </c>
    </row>
    <row r="54" spans="1:10" x14ac:dyDescent="0.25">
      <c r="A54" s="3" t="s">
        <v>55</v>
      </c>
      <c r="B54" s="12">
        <v>51</v>
      </c>
      <c r="C54" s="12">
        <v>60</v>
      </c>
      <c r="D54" s="12">
        <v>1578</v>
      </c>
      <c r="E54" s="11">
        <f>D54/C54</f>
        <v>26.3</v>
      </c>
      <c r="F54" s="12">
        <v>3</v>
      </c>
      <c r="G54" s="12">
        <v>22</v>
      </c>
      <c r="H54" s="11">
        <f>G54/F54</f>
        <v>7.333333333333333</v>
      </c>
      <c r="I54" s="12">
        <v>20</v>
      </c>
      <c r="J54" s="12"/>
    </row>
    <row r="55" spans="1:10" x14ac:dyDescent="0.25">
      <c r="A55" s="3" t="s">
        <v>206</v>
      </c>
      <c r="B55" s="12">
        <v>3</v>
      </c>
      <c r="C55" s="12">
        <v>5</v>
      </c>
      <c r="D55" s="12">
        <v>43</v>
      </c>
      <c r="E55" s="11">
        <f>D55/C55</f>
        <v>8.6</v>
      </c>
      <c r="F55" s="12"/>
      <c r="G55" s="12"/>
      <c r="H55" s="11" t="e">
        <f>G55/F55</f>
        <v>#DIV/0!</v>
      </c>
      <c r="I55" s="12">
        <v>1</v>
      </c>
      <c r="J55" s="12"/>
    </row>
    <row r="56" spans="1:10" x14ac:dyDescent="0.25">
      <c r="A56" s="3" t="s">
        <v>246</v>
      </c>
      <c r="B56" s="12">
        <v>1</v>
      </c>
      <c r="C56" s="12">
        <v>2</v>
      </c>
      <c r="D56" s="12">
        <v>5</v>
      </c>
      <c r="E56" s="11">
        <f>D56/C56</f>
        <v>2.5</v>
      </c>
      <c r="F56" s="12"/>
      <c r="G56" s="12"/>
      <c r="H56" s="11" t="e">
        <f>G56/F56</f>
        <v>#DIV/0!</v>
      </c>
      <c r="I56" s="12"/>
      <c r="J56" s="12"/>
    </row>
    <row r="57" spans="1:10" x14ac:dyDescent="0.25">
      <c r="A57" s="3" t="s">
        <v>157</v>
      </c>
      <c r="B57" s="12">
        <v>9</v>
      </c>
      <c r="C57" s="12">
        <v>8</v>
      </c>
      <c r="D57" s="12">
        <v>58</v>
      </c>
      <c r="E57" s="11">
        <f>D57/C57</f>
        <v>7.25</v>
      </c>
      <c r="F57" s="12"/>
      <c r="G57" s="12"/>
      <c r="H57" s="11" t="e">
        <f>G57/F57</f>
        <v>#DIV/0!</v>
      </c>
      <c r="I57" s="12">
        <v>17</v>
      </c>
      <c r="J57" s="12">
        <v>6</v>
      </c>
    </row>
    <row r="58" spans="1:10" x14ac:dyDescent="0.25">
      <c r="A58" s="3" t="s">
        <v>112</v>
      </c>
      <c r="B58" s="12">
        <v>17</v>
      </c>
      <c r="C58" s="12">
        <v>18</v>
      </c>
      <c r="D58" s="12">
        <v>153</v>
      </c>
      <c r="E58" s="11">
        <f>D58/C58</f>
        <v>8.5</v>
      </c>
      <c r="F58" s="12">
        <v>58</v>
      </c>
      <c r="G58" s="12">
        <v>688</v>
      </c>
      <c r="H58" s="11">
        <f>G58/F58</f>
        <v>11.862068965517242</v>
      </c>
      <c r="I58" s="12">
        <v>7</v>
      </c>
      <c r="J58" s="12"/>
    </row>
    <row r="59" spans="1:10" x14ac:dyDescent="0.25">
      <c r="A59" s="3" t="s">
        <v>82</v>
      </c>
      <c r="B59" s="12">
        <v>26</v>
      </c>
      <c r="C59" s="12">
        <v>29</v>
      </c>
      <c r="D59" s="12">
        <v>1248</v>
      </c>
      <c r="E59" s="11">
        <f>D59/C59</f>
        <v>43.03448275862069</v>
      </c>
      <c r="F59" s="12">
        <v>25</v>
      </c>
      <c r="G59" s="12">
        <v>374</v>
      </c>
      <c r="H59" s="11">
        <f>G59/F59</f>
        <v>14.96</v>
      </c>
      <c r="I59" s="12">
        <v>13</v>
      </c>
      <c r="J59" s="12"/>
    </row>
    <row r="60" spans="1:10" x14ac:dyDescent="0.25">
      <c r="A60" s="3" t="s">
        <v>257</v>
      </c>
      <c r="B60" s="12">
        <v>1</v>
      </c>
      <c r="C60" s="12"/>
      <c r="D60" s="12"/>
      <c r="E60" s="11" t="s">
        <v>273</v>
      </c>
      <c r="F60" s="12">
        <v>1</v>
      </c>
      <c r="G60" s="12">
        <v>50</v>
      </c>
      <c r="H60" s="11">
        <f>G60/F60</f>
        <v>50</v>
      </c>
      <c r="I60" s="12"/>
      <c r="J60" s="12"/>
    </row>
    <row r="61" spans="1:10" x14ac:dyDescent="0.25">
      <c r="A61" s="4" t="s">
        <v>115</v>
      </c>
      <c r="B61" s="10">
        <v>16</v>
      </c>
      <c r="C61" s="10">
        <v>18</v>
      </c>
      <c r="D61" s="10">
        <v>347</v>
      </c>
      <c r="E61" s="11">
        <f>D61/C61</f>
        <v>19.277777777777779</v>
      </c>
      <c r="F61" s="10">
        <v>0</v>
      </c>
      <c r="G61" s="10">
        <v>5</v>
      </c>
      <c r="H61" s="11" t="e">
        <f>G61/F61</f>
        <v>#DIV/0!</v>
      </c>
      <c r="I61" s="10">
        <v>3</v>
      </c>
      <c r="J61" s="10"/>
    </row>
    <row r="62" spans="1:10" x14ac:dyDescent="0.25">
      <c r="A62" s="3" t="s">
        <v>26</v>
      </c>
      <c r="B62" s="12">
        <v>96</v>
      </c>
      <c r="C62" s="12">
        <v>86</v>
      </c>
      <c r="D62" s="12">
        <v>1021</v>
      </c>
      <c r="E62" s="11">
        <f>D62/C62</f>
        <v>11.872093023255815</v>
      </c>
      <c r="F62" s="12">
        <v>223</v>
      </c>
      <c r="G62" s="12">
        <v>3740</v>
      </c>
      <c r="H62" s="11">
        <f>G62/F62</f>
        <v>16.771300448430495</v>
      </c>
      <c r="I62" s="12">
        <v>36</v>
      </c>
      <c r="J62" s="12"/>
    </row>
    <row r="63" spans="1:10" x14ac:dyDescent="0.25">
      <c r="A63" s="4" t="s">
        <v>64</v>
      </c>
      <c r="B63" s="10">
        <v>38</v>
      </c>
      <c r="C63" s="10">
        <v>39</v>
      </c>
      <c r="D63" s="10">
        <v>609</v>
      </c>
      <c r="E63" s="11">
        <f>D63/C63</f>
        <v>15.615384615384615</v>
      </c>
      <c r="F63" s="10">
        <v>0</v>
      </c>
      <c r="G63" s="10">
        <v>11</v>
      </c>
      <c r="H63" s="11" t="e">
        <f>G63/F63</f>
        <v>#DIV/0!</v>
      </c>
      <c r="I63" s="10">
        <v>12</v>
      </c>
      <c r="J63" s="10"/>
    </row>
    <row r="64" spans="1:10" x14ac:dyDescent="0.25">
      <c r="A64" s="4" t="s">
        <v>271</v>
      </c>
      <c r="B64" s="10">
        <v>44</v>
      </c>
      <c r="C64" s="10">
        <f>2+6+10+5+13</f>
        <v>36</v>
      </c>
      <c r="D64" s="10">
        <f>28+102+247+131+253</f>
        <v>761</v>
      </c>
      <c r="E64" s="11">
        <f>D64/C64</f>
        <v>21.138888888888889</v>
      </c>
      <c r="F64" s="10">
        <f>0</f>
        <v>0</v>
      </c>
      <c r="G64" s="10">
        <f>3</f>
        <v>3</v>
      </c>
      <c r="H64" s="11" t="e">
        <f>G64/F64</f>
        <v>#DIV/0!</v>
      </c>
      <c r="I64" s="10">
        <f>3+2+24+6+22</f>
        <v>57</v>
      </c>
      <c r="J64" s="10">
        <f>1+1+1+4</f>
        <v>7</v>
      </c>
    </row>
    <row r="65" spans="1:10" x14ac:dyDescent="0.25">
      <c r="A65" s="3" t="s">
        <v>20</v>
      </c>
      <c r="B65" s="12">
        <v>122</v>
      </c>
      <c r="C65" s="12">
        <v>119</v>
      </c>
      <c r="D65" s="12">
        <v>1422</v>
      </c>
      <c r="E65" s="11">
        <f>D65/C65</f>
        <v>11.949579831932773</v>
      </c>
      <c r="F65" s="12">
        <v>7</v>
      </c>
      <c r="G65" s="12">
        <v>46</v>
      </c>
      <c r="H65" s="11">
        <f>G65/F65</f>
        <v>6.5714285714285712</v>
      </c>
      <c r="I65" s="12">
        <v>123</v>
      </c>
      <c r="J65" s="12">
        <v>74</v>
      </c>
    </row>
    <row r="66" spans="1:10" s="7" customFormat="1" x14ac:dyDescent="0.25">
      <c r="A66" s="3" t="s">
        <v>231</v>
      </c>
      <c r="B66" s="12">
        <v>2</v>
      </c>
      <c r="C66" s="12">
        <v>2</v>
      </c>
      <c r="D66" s="12">
        <v>7</v>
      </c>
      <c r="E66" s="11">
        <f>D66/C66</f>
        <v>3.5</v>
      </c>
      <c r="F66" s="12">
        <v>1</v>
      </c>
      <c r="G66" s="12">
        <v>38</v>
      </c>
      <c r="H66" s="11">
        <f>G66/F66</f>
        <v>38</v>
      </c>
      <c r="I66" s="12">
        <v>1</v>
      </c>
      <c r="J66" s="12"/>
    </row>
    <row r="67" spans="1:10" x14ac:dyDescent="0.25">
      <c r="A67" s="3" t="s">
        <v>248</v>
      </c>
      <c r="B67" s="12">
        <v>1</v>
      </c>
      <c r="C67" s="12">
        <v>2</v>
      </c>
      <c r="D67" s="12">
        <v>1</v>
      </c>
      <c r="E67" s="11">
        <f>D67/C67</f>
        <v>0.5</v>
      </c>
      <c r="F67" s="12"/>
      <c r="G67" s="12"/>
      <c r="H67" s="11" t="e">
        <f>G67/F67</f>
        <v>#DIV/0!</v>
      </c>
      <c r="I67" s="12"/>
      <c r="J67" s="12"/>
    </row>
    <row r="68" spans="1:10" s="8" customFormat="1" x14ac:dyDescent="0.25">
      <c r="A68" s="3" t="s">
        <v>46</v>
      </c>
      <c r="B68" s="12">
        <v>62</v>
      </c>
      <c r="C68" s="12">
        <v>68</v>
      </c>
      <c r="D68" s="12">
        <v>803</v>
      </c>
      <c r="E68" s="11">
        <f>D68/C68</f>
        <v>11.808823529411764</v>
      </c>
      <c r="F68" s="12"/>
      <c r="G68" s="12"/>
      <c r="H68" s="11" t="e">
        <f>G68/F68</f>
        <v>#DIV/0!</v>
      </c>
      <c r="I68" s="12">
        <v>25</v>
      </c>
      <c r="J68" s="12"/>
    </row>
    <row r="69" spans="1:10" s="8" customFormat="1" x14ac:dyDescent="0.25">
      <c r="A69" s="4" t="s">
        <v>291</v>
      </c>
      <c r="B69" s="10">
        <f>1+1+1+1</f>
        <v>4</v>
      </c>
      <c r="C69" s="10">
        <f>1+1+1+2</f>
        <v>5</v>
      </c>
      <c r="D69" s="10">
        <f>46+10+0+12</f>
        <v>68</v>
      </c>
      <c r="E69" s="11">
        <f>D69/C69</f>
        <v>13.6</v>
      </c>
      <c r="F69" s="10"/>
      <c r="G69" s="10">
        <f>3</f>
        <v>3</v>
      </c>
      <c r="H69" s="11" t="e">
        <f>G69/F69</f>
        <v>#DIV/0!</v>
      </c>
      <c r="I69" s="10"/>
      <c r="J69" s="10"/>
    </row>
    <row r="70" spans="1:10" s="7" customFormat="1" x14ac:dyDescent="0.25">
      <c r="A70" s="4" t="s">
        <v>296</v>
      </c>
      <c r="B70" s="10">
        <f>11+9+3+13</f>
        <v>36</v>
      </c>
      <c r="C70" s="10">
        <f>10+10+3+13</f>
        <v>36</v>
      </c>
      <c r="D70" s="10">
        <f>120+160+34+294</f>
        <v>608</v>
      </c>
      <c r="E70" s="11">
        <f>D70/C70</f>
        <v>16.888888888888889</v>
      </c>
      <c r="F70" s="10">
        <f>2+2</f>
        <v>4</v>
      </c>
      <c r="G70" s="10">
        <f>43+19+102</f>
        <v>164</v>
      </c>
      <c r="H70" s="11">
        <f>G70/F70</f>
        <v>41</v>
      </c>
      <c r="I70" s="10">
        <f>5+1+5</f>
        <v>11</v>
      </c>
      <c r="J70" s="10"/>
    </row>
    <row r="71" spans="1:10" x14ac:dyDescent="0.25">
      <c r="A71" s="6" t="s">
        <v>302</v>
      </c>
      <c r="B71" s="13">
        <f>7+12+8</f>
        <v>27</v>
      </c>
      <c r="C71" s="13">
        <f>7+13+9</f>
        <v>29</v>
      </c>
      <c r="D71" s="13">
        <f>56+106+125</f>
        <v>287</v>
      </c>
      <c r="E71" s="14">
        <f>D71/C71</f>
        <v>9.8965517241379306</v>
      </c>
      <c r="F71" s="13"/>
      <c r="G71" s="13"/>
      <c r="H71" s="14"/>
      <c r="I71" s="13">
        <f>1+2+3</f>
        <v>6</v>
      </c>
      <c r="J71" s="13"/>
    </row>
    <row r="72" spans="1:10" x14ac:dyDescent="0.25">
      <c r="A72" s="3" t="s">
        <v>237</v>
      </c>
      <c r="B72" s="12">
        <v>2</v>
      </c>
      <c r="C72" s="12"/>
      <c r="D72" s="12"/>
      <c r="E72" s="11" t="s">
        <v>273</v>
      </c>
      <c r="F72" s="12"/>
      <c r="G72" s="12"/>
      <c r="H72" s="11" t="e">
        <f>G72/F72</f>
        <v>#DIV/0!</v>
      </c>
      <c r="I72" s="12"/>
      <c r="J72" s="12"/>
    </row>
    <row r="73" spans="1:10" x14ac:dyDescent="0.25">
      <c r="A73" s="3" t="s">
        <v>33</v>
      </c>
      <c r="B73" s="12">
        <v>72</v>
      </c>
      <c r="C73" s="12">
        <v>86</v>
      </c>
      <c r="D73" s="12">
        <v>1592</v>
      </c>
      <c r="E73" s="11">
        <f>D73/C73</f>
        <v>18.511627906976745</v>
      </c>
      <c r="F73" s="12">
        <v>16</v>
      </c>
      <c r="G73" s="12">
        <v>153</v>
      </c>
      <c r="H73" s="11">
        <f>G73/F73</f>
        <v>9.5625</v>
      </c>
      <c r="I73" s="12"/>
      <c r="J73" s="12">
        <v>1</v>
      </c>
    </row>
    <row r="74" spans="1:10" s="7" customFormat="1" x14ac:dyDescent="0.25">
      <c r="A74" s="4" t="s">
        <v>108</v>
      </c>
      <c r="B74" s="10">
        <v>19</v>
      </c>
      <c r="C74" s="10">
        <v>20</v>
      </c>
      <c r="D74" s="10">
        <v>184</v>
      </c>
      <c r="E74" s="11">
        <f>D74/C74</f>
        <v>9.1999999999999993</v>
      </c>
      <c r="F74" s="10">
        <v>8</v>
      </c>
      <c r="G74" s="10">
        <v>150</v>
      </c>
      <c r="H74" s="11">
        <f>G74/F74</f>
        <v>18.75</v>
      </c>
      <c r="I74" s="10">
        <v>8</v>
      </c>
      <c r="J74" s="10"/>
    </row>
    <row r="75" spans="1:10" x14ac:dyDescent="0.25">
      <c r="A75" s="4" t="s">
        <v>285</v>
      </c>
      <c r="B75" s="10">
        <f>6+15</f>
        <v>21</v>
      </c>
      <c r="C75" s="10">
        <f>5+16</f>
        <v>21</v>
      </c>
      <c r="D75" s="10">
        <f>115+459</f>
        <v>574</v>
      </c>
      <c r="E75" s="11">
        <f>D75/C75</f>
        <v>27.333333333333332</v>
      </c>
      <c r="F75" s="10">
        <f>11+18</f>
        <v>29</v>
      </c>
      <c r="G75" s="10">
        <f>161+230</f>
        <v>391</v>
      </c>
      <c r="H75" s="11">
        <f>G75/F75</f>
        <v>13.482758620689655</v>
      </c>
      <c r="I75" s="10">
        <f>1+5</f>
        <v>6</v>
      </c>
      <c r="J75" s="10"/>
    </row>
    <row r="76" spans="1:10" s="8" customFormat="1" x14ac:dyDescent="0.25">
      <c r="A76" s="6" t="s">
        <v>316</v>
      </c>
      <c r="B76" s="13">
        <f>1</f>
        <v>1</v>
      </c>
      <c r="C76" s="13">
        <f>3</f>
        <v>3</v>
      </c>
      <c r="D76" s="13">
        <f>111</f>
        <v>111</v>
      </c>
      <c r="E76" s="14">
        <f>D76/C76</f>
        <v>37</v>
      </c>
      <c r="F76" s="13"/>
      <c r="G76" s="13"/>
      <c r="H76" s="14"/>
      <c r="I76" s="13"/>
      <c r="J76" s="13"/>
    </row>
    <row r="77" spans="1:10" x14ac:dyDescent="0.25">
      <c r="A77" s="4" t="s">
        <v>101</v>
      </c>
      <c r="B77" s="10">
        <v>20</v>
      </c>
      <c r="C77" s="10">
        <v>22</v>
      </c>
      <c r="D77" s="10">
        <v>185</v>
      </c>
      <c r="E77" s="11">
        <f>D77/C77</f>
        <v>8.4090909090909083</v>
      </c>
      <c r="F77" s="10">
        <v>11</v>
      </c>
      <c r="G77" s="10">
        <v>253</v>
      </c>
      <c r="H77" s="11">
        <f>G77/F77</f>
        <v>23</v>
      </c>
      <c r="I77" s="10">
        <v>3</v>
      </c>
      <c r="J77" s="10"/>
    </row>
    <row r="78" spans="1:10" x14ac:dyDescent="0.25">
      <c r="A78" s="4" t="s">
        <v>7</v>
      </c>
      <c r="B78" s="10">
        <v>230</v>
      </c>
      <c r="C78" s="10">
        <v>220</v>
      </c>
      <c r="D78" s="10">
        <v>6192</v>
      </c>
      <c r="E78" s="11">
        <f>D78/C78</f>
        <v>28.145454545454545</v>
      </c>
      <c r="F78" s="10">
        <v>405</v>
      </c>
      <c r="G78" s="10">
        <v>7738</v>
      </c>
      <c r="H78" s="11">
        <f>G78/F78</f>
        <v>19.106172839506172</v>
      </c>
      <c r="I78" s="10">
        <v>110</v>
      </c>
      <c r="J78" s="10"/>
    </row>
    <row r="79" spans="1:10" s="8" customFormat="1" x14ac:dyDescent="0.25">
      <c r="A79" s="3" t="s">
        <v>266</v>
      </c>
      <c r="B79" s="12">
        <v>0</v>
      </c>
      <c r="C79" s="12"/>
      <c r="D79" s="12"/>
      <c r="E79" s="11" t="s">
        <v>273</v>
      </c>
      <c r="F79" s="12"/>
      <c r="G79" s="12"/>
      <c r="H79" s="11" t="e">
        <f>G79/F79</f>
        <v>#DIV/0!</v>
      </c>
      <c r="I79" s="12">
        <v>1</v>
      </c>
      <c r="J79" s="12"/>
    </row>
    <row r="80" spans="1:10" x14ac:dyDescent="0.25">
      <c r="A80" s="6" t="s">
        <v>272</v>
      </c>
      <c r="B80" s="13">
        <f>11+14+16+14+9+2+12+12+14+13+14+11</f>
        <v>142</v>
      </c>
      <c r="C80" s="13">
        <f>12+16+18+13+10+2+11+13+15+11+16+14</f>
        <v>151</v>
      </c>
      <c r="D80" s="13">
        <f>81+421+386+433+234+24+303+483+550+800+506+321</f>
        <v>4542</v>
      </c>
      <c r="E80" s="14">
        <f>D80/C80</f>
        <v>30.079470198675498</v>
      </c>
      <c r="F80" s="13">
        <f>1</f>
        <v>1</v>
      </c>
      <c r="G80" s="13">
        <f>18+13+34</f>
        <v>65</v>
      </c>
      <c r="H80" s="14">
        <f>G80/F80</f>
        <v>65</v>
      </c>
      <c r="I80" s="13">
        <f>4+13+6+14+13+26+13+6+7+4</f>
        <v>106</v>
      </c>
      <c r="J80" s="13">
        <f>1+5+3+2+1</f>
        <v>12</v>
      </c>
    </row>
    <row r="81" spans="1:10" s="24" customFormat="1" x14ac:dyDescent="0.25">
      <c r="A81" s="3" t="s">
        <v>243</v>
      </c>
      <c r="B81" s="12">
        <v>1</v>
      </c>
      <c r="C81" s="12">
        <v>2</v>
      </c>
      <c r="D81" s="12">
        <v>15</v>
      </c>
      <c r="E81" s="11">
        <f>D81/C81</f>
        <v>7.5</v>
      </c>
      <c r="F81" s="12"/>
      <c r="G81" s="12"/>
      <c r="H81" s="11" t="e">
        <f>G81/F81</f>
        <v>#DIV/0!</v>
      </c>
      <c r="I81" s="12">
        <v>1</v>
      </c>
      <c r="J81" s="12"/>
    </row>
    <row r="82" spans="1:10" x14ac:dyDescent="0.25">
      <c r="A82" s="4" t="s">
        <v>306</v>
      </c>
      <c r="B82" s="10">
        <f>1</f>
        <v>1</v>
      </c>
      <c r="C82" s="10">
        <v>0</v>
      </c>
      <c r="D82" s="10">
        <f>2</f>
        <v>2</v>
      </c>
      <c r="E82" s="11" t="e">
        <f>D82/C82</f>
        <v>#DIV/0!</v>
      </c>
      <c r="F82" s="10">
        <f>0</f>
        <v>0</v>
      </c>
      <c r="G82" s="10">
        <f>32</f>
        <v>32</v>
      </c>
      <c r="H82" s="11" t="e">
        <f>G82/F82</f>
        <v>#DIV/0!</v>
      </c>
      <c r="I82" s="10"/>
      <c r="J82" s="10"/>
    </row>
    <row r="83" spans="1:10" x14ac:dyDescent="0.25">
      <c r="A83" s="3" t="s">
        <v>116</v>
      </c>
      <c r="B83" s="12">
        <v>16</v>
      </c>
      <c r="C83" s="12">
        <v>21</v>
      </c>
      <c r="D83" s="12">
        <v>382</v>
      </c>
      <c r="E83" s="11">
        <f>D83/C83</f>
        <v>18.19047619047619</v>
      </c>
      <c r="F83" s="12">
        <v>9</v>
      </c>
      <c r="G83" s="12">
        <v>263</v>
      </c>
      <c r="H83" s="11">
        <f>G83/F83</f>
        <v>29.222222222222221</v>
      </c>
      <c r="I83" s="12">
        <v>4</v>
      </c>
      <c r="J83" s="12"/>
    </row>
    <row r="84" spans="1:10" s="8" customFormat="1" x14ac:dyDescent="0.25">
      <c r="A84" s="6" t="s">
        <v>318</v>
      </c>
      <c r="B84" s="13">
        <f>3</f>
        <v>3</v>
      </c>
      <c r="C84" s="13">
        <f>3</f>
        <v>3</v>
      </c>
      <c r="D84" s="13">
        <f>33</f>
        <v>33</v>
      </c>
      <c r="E84" s="14">
        <f>D84/C84</f>
        <v>11</v>
      </c>
      <c r="F84" s="13"/>
      <c r="G84" s="13"/>
      <c r="H84" s="14"/>
      <c r="I84" s="13">
        <f>5</f>
        <v>5</v>
      </c>
      <c r="J84" s="13"/>
    </row>
    <row r="85" spans="1:10" x14ac:dyDescent="0.25">
      <c r="A85" s="3" t="s">
        <v>80</v>
      </c>
      <c r="B85" s="12">
        <v>27</v>
      </c>
      <c r="C85" s="12">
        <v>26</v>
      </c>
      <c r="D85" s="12">
        <v>390</v>
      </c>
      <c r="E85" s="11">
        <f>D85/C85</f>
        <v>15</v>
      </c>
      <c r="F85" s="12">
        <v>60</v>
      </c>
      <c r="G85" s="12">
        <v>668</v>
      </c>
      <c r="H85" s="11">
        <f>G85/F85</f>
        <v>11.133333333333333</v>
      </c>
      <c r="I85" s="12">
        <v>11</v>
      </c>
      <c r="J85" s="12"/>
    </row>
    <row r="86" spans="1:10" x14ac:dyDescent="0.25">
      <c r="A86" s="3" t="s">
        <v>259</v>
      </c>
      <c r="B86" s="12">
        <v>1</v>
      </c>
      <c r="C86" s="12"/>
      <c r="D86" s="12"/>
      <c r="E86" s="11" t="s">
        <v>273</v>
      </c>
      <c r="F86" s="12"/>
      <c r="G86" s="12"/>
      <c r="H86" s="11" t="e">
        <f>G86/F86</f>
        <v>#DIV/0!</v>
      </c>
      <c r="I86" s="12">
        <v>1</v>
      </c>
      <c r="J86" s="12"/>
    </row>
    <row r="87" spans="1:10" x14ac:dyDescent="0.25">
      <c r="A87" s="3" t="s">
        <v>28</v>
      </c>
      <c r="B87" s="12">
        <v>89</v>
      </c>
      <c r="C87" s="12">
        <v>69</v>
      </c>
      <c r="D87" s="12">
        <v>946</v>
      </c>
      <c r="E87" s="11">
        <f>D87/C87</f>
        <v>13.710144927536232</v>
      </c>
      <c r="F87" s="12">
        <v>171</v>
      </c>
      <c r="G87" s="12">
        <v>2084</v>
      </c>
      <c r="H87" s="11">
        <f>G87/F87</f>
        <v>12.187134502923977</v>
      </c>
      <c r="I87" s="12">
        <v>39</v>
      </c>
      <c r="J87" s="12"/>
    </row>
    <row r="88" spans="1:10" x14ac:dyDescent="0.25">
      <c r="A88" s="3" t="s">
        <v>211</v>
      </c>
      <c r="B88" s="12">
        <v>3</v>
      </c>
      <c r="C88" s="12">
        <v>1</v>
      </c>
      <c r="D88" s="12">
        <v>4</v>
      </c>
      <c r="E88" s="11">
        <f>D88/C88</f>
        <v>4</v>
      </c>
      <c r="F88" s="12">
        <v>11</v>
      </c>
      <c r="G88" s="12">
        <v>190</v>
      </c>
      <c r="H88" s="11">
        <f>G88/F88</f>
        <v>17.272727272727273</v>
      </c>
      <c r="I88" s="12">
        <v>1</v>
      </c>
      <c r="J88" s="12"/>
    </row>
    <row r="89" spans="1:10" x14ac:dyDescent="0.25">
      <c r="A89" s="3" t="s">
        <v>120</v>
      </c>
      <c r="B89" s="12">
        <v>15</v>
      </c>
      <c r="C89" s="12">
        <v>12</v>
      </c>
      <c r="D89" s="12">
        <v>231</v>
      </c>
      <c r="E89" s="11">
        <f>D89/C89</f>
        <v>19.25</v>
      </c>
      <c r="F89" s="12">
        <v>9</v>
      </c>
      <c r="G89" s="12">
        <v>117</v>
      </c>
      <c r="H89" s="11">
        <f>G89/F89</f>
        <v>13</v>
      </c>
      <c r="I89" s="12">
        <v>8</v>
      </c>
      <c r="J89" s="12"/>
    </row>
    <row r="90" spans="1:10" s="7" customFormat="1" x14ac:dyDescent="0.25">
      <c r="A90" s="3" t="s">
        <v>239</v>
      </c>
      <c r="B90" s="12">
        <v>1</v>
      </c>
      <c r="C90" s="12">
        <v>1</v>
      </c>
      <c r="D90" s="12">
        <v>12</v>
      </c>
      <c r="E90" s="11">
        <f>D90/C90</f>
        <v>12</v>
      </c>
      <c r="F90" s="12"/>
      <c r="G90" s="12"/>
      <c r="H90" s="11" t="e">
        <f>G90/F90</f>
        <v>#DIV/0!</v>
      </c>
      <c r="I90" s="12"/>
      <c r="J90" s="12"/>
    </row>
    <row r="91" spans="1:10" x14ac:dyDescent="0.25">
      <c r="A91" s="4" t="s">
        <v>146</v>
      </c>
      <c r="B91" s="10">
        <f>10+7+4</f>
        <v>21</v>
      </c>
      <c r="C91" s="10">
        <f>12+7+4</f>
        <v>23</v>
      </c>
      <c r="D91" s="10">
        <f>118+86+18</f>
        <v>222</v>
      </c>
      <c r="E91" s="11">
        <f>D91/C91</f>
        <v>9.6521739130434785</v>
      </c>
      <c r="F91" s="10">
        <v>1</v>
      </c>
      <c r="G91" s="10">
        <v>110</v>
      </c>
      <c r="H91" s="11">
        <f>G91/F91</f>
        <v>110</v>
      </c>
      <c r="I91" s="10">
        <v>3</v>
      </c>
      <c r="J91" s="10"/>
    </row>
    <row r="92" spans="1:10" x14ac:dyDescent="0.25">
      <c r="A92" s="3" t="s">
        <v>60</v>
      </c>
      <c r="B92" s="12">
        <v>46</v>
      </c>
      <c r="C92" s="12">
        <v>15</v>
      </c>
      <c r="D92" s="12">
        <v>111</v>
      </c>
      <c r="E92" s="11">
        <f>D92/C92</f>
        <v>7.4</v>
      </c>
      <c r="F92" s="12">
        <v>75</v>
      </c>
      <c r="G92" s="12">
        <v>2012</v>
      </c>
      <c r="H92" s="11">
        <f>G92/F92</f>
        <v>26.826666666666668</v>
      </c>
      <c r="I92" s="12">
        <v>24</v>
      </c>
      <c r="J92" s="12"/>
    </row>
    <row r="93" spans="1:10" x14ac:dyDescent="0.25">
      <c r="A93" s="3" t="s">
        <v>12</v>
      </c>
      <c r="B93" s="12">
        <v>188</v>
      </c>
      <c r="C93" s="12">
        <v>125</v>
      </c>
      <c r="D93" s="12">
        <v>2238</v>
      </c>
      <c r="E93" s="11">
        <f>D93/C93</f>
        <v>17.904</v>
      </c>
      <c r="F93" s="12">
        <v>3</v>
      </c>
      <c r="G93" s="12">
        <v>89</v>
      </c>
      <c r="H93" s="11">
        <f>G93/F93</f>
        <v>29.666666666666668</v>
      </c>
      <c r="I93" s="12">
        <v>314</v>
      </c>
      <c r="J93" s="12">
        <v>83</v>
      </c>
    </row>
    <row r="94" spans="1:10" x14ac:dyDescent="0.25">
      <c r="A94" s="3" t="s">
        <v>220</v>
      </c>
      <c r="B94" s="12">
        <v>2</v>
      </c>
      <c r="C94" s="12">
        <v>2</v>
      </c>
      <c r="D94" s="12">
        <v>44</v>
      </c>
      <c r="E94" s="11">
        <f>D94/C94</f>
        <v>22</v>
      </c>
      <c r="F94" s="12"/>
      <c r="G94" s="12"/>
      <c r="H94" s="11" t="e">
        <f>G94/F94</f>
        <v>#DIV/0!</v>
      </c>
      <c r="I94" s="12">
        <v>1</v>
      </c>
      <c r="J94" s="12"/>
    </row>
    <row r="95" spans="1:10" x14ac:dyDescent="0.25">
      <c r="A95" s="3" t="s">
        <v>88</v>
      </c>
      <c r="B95" s="12">
        <v>25</v>
      </c>
      <c r="C95" s="12">
        <v>31</v>
      </c>
      <c r="D95" s="12">
        <v>278</v>
      </c>
      <c r="E95" s="11">
        <f>D95/C95</f>
        <v>8.9677419354838701</v>
      </c>
      <c r="F95" s="12">
        <v>2</v>
      </c>
      <c r="G95" s="12">
        <v>10</v>
      </c>
      <c r="H95" s="11">
        <f>G95/F95</f>
        <v>5</v>
      </c>
      <c r="I95" s="12">
        <v>3</v>
      </c>
      <c r="J95" s="12"/>
    </row>
    <row r="96" spans="1:10" x14ac:dyDescent="0.25">
      <c r="A96" s="3" t="s">
        <v>25</v>
      </c>
      <c r="B96" s="12">
        <v>98</v>
      </c>
      <c r="C96" s="12">
        <v>100</v>
      </c>
      <c r="D96" s="12">
        <v>2349</v>
      </c>
      <c r="E96" s="11">
        <f>D96/C96</f>
        <v>23.49</v>
      </c>
      <c r="F96" s="12">
        <v>16</v>
      </c>
      <c r="G96" s="12">
        <v>301</v>
      </c>
      <c r="H96" s="11">
        <f>G96/F96</f>
        <v>18.8125</v>
      </c>
      <c r="I96" s="12">
        <v>49</v>
      </c>
      <c r="J96" s="12">
        <v>1</v>
      </c>
    </row>
    <row r="97" spans="1:10" x14ac:dyDescent="0.25">
      <c r="A97" s="3" t="s">
        <v>32</v>
      </c>
      <c r="B97" s="12">
        <v>72</v>
      </c>
      <c r="C97" s="12">
        <v>66</v>
      </c>
      <c r="D97" s="12">
        <v>1637</v>
      </c>
      <c r="E97" s="11">
        <f>D97/C97</f>
        <v>24.803030303030305</v>
      </c>
      <c r="F97" s="12">
        <v>5</v>
      </c>
      <c r="G97" s="12">
        <v>100</v>
      </c>
      <c r="H97" s="11">
        <f>G97/F97</f>
        <v>20</v>
      </c>
      <c r="I97" s="12">
        <v>55</v>
      </c>
      <c r="J97" s="12"/>
    </row>
    <row r="98" spans="1:10" x14ac:dyDescent="0.25">
      <c r="A98" s="4" t="s">
        <v>31</v>
      </c>
      <c r="B98" s="10">
        <v>82</v>
      </c>
      <c r="C98" s="10">
        <v>78</v>
      </c>
      <c r="D98" s="10">
        <v>2068</v>
      </c>
      <c r="E98" s="11">
        <f>D98/C98</f>
        <v>26.512820512820515</v>
      </c>
      <c r="F98" s="10">
        <v>2</v>
      </c>
      <c r="G98" s="10">
        <v>38</v>
      </c>
      <c r="H98" s="11">
        <f>G98/F98</f>
        <v>19</v>
      </c>
      <c r="I98" s="10">
        <v>18</v>
      </c>
      <c r="J98" s="10"/>
    </row>
    <row r="99" spans="1:10" s="8" customFormat="1" x14ac:dyDescent="0.25">
      <c r="A99" s="3" t="s">
        <v>92</v>
      </c>
      <c r="B99" s="12">
        <v>23</v>
      </c>
      <c r="C99" s="12">
        <v>29</v>
      </c>
      <c r="D99" s="12">
        <v>715</v>
      </c>
      <c r="E99" s="11">
        <f>D99/C99</f>
        <v>24.655172413793103</v>
      </c>
      <c r="F99" s="12">
        <v>11</v>
      </c>
      <c r="G99" s="12">
        <v>121</v>
      </c>
      <c r="H99" s="11">
        <f>G99/F99</f>
        <v>11</v>
      </c>
      <c r="I99" s="12">
        <v>11</v>
      </c>
      <c r="J99" s="12"/>
    </row>
    <row r="100" spans="1:10" x14ac:dyDescent="0.25">
      <c r="A100" s="6" t="s">
        <v>41</v>
      </c>
      <c r="B100" s="13">
        <f>86+11+14+16+10+18+16+10+13+16+15+10+13</f>
        <v>248</v>
      </c>
      <c r="C100" s="13">
        <f>53+10+5+6+7+16+7+6+6+8+7+8+10</f>
        <v>149</v>
      </c>
      <c r="D100" s="13">
        <f>559+90+78+150+57+157+38+20+71+106+64+57+95</f>
        <v>1542</v>
      </c>
      <c r="E100" s="14">
        <f>D100/C100</f>
        <v>10.348993288590604</v>
      </c>
      <c r="F100" s="13">
        <f>117+22+15+25+20+47+13+14+21+28+24+19+19</f>
        <v>384</v>
      </c>
      <c r="G100" s="13">
        <f>2610+560+446+483+214+519+384+258+349+390+543+314+427</f>
        <v>7497</v>
      </c>
      <c r="H100" s="14">
        <f>G100/F100</f>
        <v>19.5234375</v>
      </c>
      <c r="I100" s="13">
        <f>41+2+5+4+4+1+4+4+2+5</f>
        <v>72</v>
      </c>
      <c r="J100" s="13"/>
    </row>
    <row r="101" spans="1:10" x14ac:dyDescent="0.25">
      <c r="A101" s="3" t="s">
        <v>91</v>
      </c>
      <c r="B101" s="12">
        <v>24</v>
      </c>
      <c r="C101" s="12">
        <v>18</v>
      </c>
      <c r="D101" s="12">
        <v>115</v>
      </c>
      <c r="E101" s="11">
        <f>D101/C101</f>
        <v>6.3888888888888893</v>
      </c>
      <c r="F101" s="12">
        <v>53</v>
      </c>
      <c r="G101" s="12">
        <v>594</v>
      </c>
      <c r="H101" s="11">
        <f>G101/F101</f>
        <v>11.20754716981132</v>
      </c>
      <c r="I101" s="12">
        <v>10</v>
      </c>
      <c r="J101" s="12"/>
    </row>
    <row r="102" spans="1:10" x14ac:dyDescent="0.25">
      <c r="A102" s="3" t="s">
        <v>234</v>
      </c>
      <c r="B102" s="12">
        <v>2</v>
      </c>
      <c r="C102" s="10">
        <v>2</v>
      </c>
      <c r="D102" s="12">
        <v>4</v>
      </c>
      <c r="E102" s="11">
        <f>D102/C102</f>
        <v>2</v>
      </c>
      <c r="F102" s="12">
        <v>1</v>
      </c>
      <c r="G102" s="12">
        <v>5</v>
      </c>
      <c r="H102" s="11">
        <f>G102/F102</f>
        <v>5</v>
      </c>
      <c r="I102" s="12">
        <v>1</v>
      </c>
      <c r="J102" s="12"/>
    </row>
    <row r="103" spans="1:10" s="8" customFormat="1" x14ac:dyDescent="0.25">
      <c r="A103" s="6" t="s">
        <v>319</v>
      </c>
      <c r="B103" s="13">
        <f>2</f>
        <v>2</v>
      </c>
      <c r="C103" s="13">
        <f>4</f>
        <v>4</v>
      </c>
      <c r="D103" s="13">
        <f>18</f>
        <v>18</v>
      </c>
      <c r="E103" s="14">
        <f>D103/C103</f>
        <v>4.5</v>
      </c>
      <c r="F103" s="13">
        <f>1</f>
        <v>1</v>
      </c>
      <c r="G103" s="13">
        <f>62</f>
        <v>62</v>
      </c>
      <c r="H103" s="14">
        <f>G103/F103</f>
        <v>62</v>
      </c>
      <c r="I103" s="13">
        <f>1</f>
        <v>1</v>
      </c>
      <c r="J103" s="13"/>
    </row>
    <row r="104" spans="1:10" x14ac:dyDescent="0.25">
      <c r="A104" s="3" t="s">
        <v>148</v>
      </c>
      <c r="B104" s="12">
        <v>10</v>
      </c>
      <c r="C104" s="12">
        <v>6</v>
      </c>
      <c r="D104" s="12">
        <v>52</v>
      </c>
      <c r="E104" s="11">
        <f>D104/C104</f>
        <v>8.6666666666666661</v>
      </c>
      <c r="F104" s="12">
        <v>9</v>
      </c>
      <c r="G104" s="12">
        <v>354</v>
      </c>
      <c r="H104" s="11">
        <f>G104/F104</f>
        <v>39.333333333333336</v>
      </c>
      <c r="I104" s="12">
        <v>2</v>
      </c>
      <c r="J104" s="12"/>
    </row>
    <row r="105" spans="1:10" s="24" customFormat="1" x14ac:dyDescent="0.25">
      <c r="A105" s="3" t="s">
        <v>148</v>
      </c>
      <c r="B105" s="12">
        <v>8</v>
      </c>
      <c r="C105" s="12">
        <v>3</v>
      </c>
      <c r="D105" s="12">
        <v>40</v>
      </c>
      <c r="E105" s="11">
        <f>D105/C105</f>
        <v>13.333333333333334</v>
      </c>
      <c r="F105" s="12">
        <v>8</v>
      </c>
      <c r="G105" s="12">
        <v>281</v>
      </c>
      <c r="H105" s="11">
        <f>G105/F105</f>
        <v>35.125</v>
      </c>
      <c r="I105" s="12">
        <v>5</v>
      </c>
      <c r="J105" s="12"/>
    </row>
    <row r="106" spans="1:10" s="7" customFormat="1" x14ac:dyDescent="0.25">
      <c r="A106" s="4" t="s">
        <v>286</v>
      </c>
      <c r="B106" s="10">
        <f>11+4+2</f>
        <v>17</v>
      </c>
      <c r="C106" s="10">
        <f>10+2+2</f>
        <v>14</v>
      </c>
      <c r="D106" s="10">
        <f>65+102+1+50+9</f>
        <v>227</v>
      </c>
      <c r="E106" s="11">
        <f>D106/C106</f>
        <v>16.214285714285715</v>
      </c>
      <c r="F106" s="10">
        <f>6+3+7+1</f>
        <v>17</v>
      </c>
      <c r="G106" s="10">
        <f>163+113+152+43</f>
        <v>471</v>
      </c>
      <c r="H106" s="11">
        <f>G106/F106</f>
        <v>27.705882352941178</v>
      </c>
      <c r="I106" s="10">
        <f>2+2+1</f>
        <v>5</v>
      </c>
      <c r="J106" s="10"/>
    </row>
    <row r="107" spans="1:10" x14ac:dyDescent="0.25">
      <c r="A107" s="3" t="s">
        <v>198</v>
      </c>
      <c r="B107" s="12">
        <v>4</v>
      </c>
      <c r="C107" s="12">
        <v>2</v>
      </c>
      <c r="D107" s="12">
        <v>13</v>
      </c>
      <c r="E107" s="11">
        <f>D107/C107</f>
        <v>6.5</v>
      </c>
      <c r="F107" s="12"/>
      <c r="G107" s="12"/>
      <c r="H107" s="11" t="e">
        <f>G107/F107</f>
        <v>#DIV/0!</v>
      </c>
      <c r="I107" s="12">
        <v>3</v>
      </c>
      <c r="J107" s="12">
        <v>2</v>
      </c>
    </row>
    <row r="108" spans="1:10" x14ac:dyDescent="0.25">
      <c r="A108" s="3" t="s">
        <v>195</v>
      </c>
      <c r="B108" s="12">
        <v>4</v>
      </c>
      <c r="C108" s="12">
        <v>7</v>
      </c>
      <c r="D108" s="12">
        <v>78</v>
      </c>
      <c r="E108" s="11">
        <f>D108/C108</f>
        <v>11.142857142857142</v>
      </c>
      <c r="F108" s="12"/>
      <c r="G108" s="12"/>
      <c r="H108" s="11" t="e">
        <f>G108/F108</f>
        <v>#DIV/0!</v>
      </c>
      <c r="I108" s="12">
        <v>4</v>
      </c>
      <c r="J108" s="12"/>
    </row>
    <row r="109" spans="1:10" x14ac:dyDescent="0.25">
      <c r="A109" s="3" t="s">
        <v>131</v>
      </c>
      <c r="B109" s="12">
        <v>13</v>
      </c>
      <c r="C109" s="12">
        <v>12</v>
      </c>
      <c r="D109" s="12">
        <v>351</v>
      </c>
      <c r="E109" s="11">
        <f>D109/C109</f>
        <v>29.25</v>
      </c>
      <c r="F109" s="12"/>
      <c r="G109" s="12"/>
      <c r="H109" s="11" t="e">
        <f>G109/F109</f>
        <v>#DIV/0!</v>
      </c>
      <c r="I109" s="12">
        <v>10</v>
      </c>
      <c r="J109" s="12"/>
    </row>
    <row r="110" spans="1:10" x14ac:dyDescent="0.25">
      <c r="A110" s="3" t="s">
        <v>235</v>
      </c>
      <c r="B110" s="12">
        <v>2</v>
      </c>
      <c r="C110" s="12">
        <v>1</v>
      </c>
      <c r="D110" s="12">
        <v>0</v>
      </c>
      <c r="E110" s="11">
        <f>D110/C110</f>
        <v>0</v>
      </c>
      <c r="F110" s="12"/>
      <c r="G110" s="12"/>
      <c r="H110" s="11" t="e">
        <f>G110/F110</f>
        <v>#DIV/0!</v>
      </c>
      <c r="I110" s="12"/>
      <c r="J110" s="12"/>
    </row>
    <row r="111" spans="1:10" x14ac:dyDescent="0.25">
      <c r="A111" s="3" t="s">
        <v>240</v>
      </c>
      <c r="B111" s="12">
        <v>1</v>
      </c>
      <c r="C111" s="12">
        <v>1</v>
      </c>
      <c r="D111" s="12">
        <v>12</v>
      </c>
      <c r="E111" s="11">
        <f>D111/C111</f>
        <v>12</v>
      </c>
      <c r="F111" s="12"/>
      <c r="G111" s="12"/>
      <c r="H111" s="11" t="e">
        <f>G111/F111</f>
        <v>#DIV/0!</v>
      </c>
      <c r="I111" s="12"/>
      <c r="J111" s="12"/>
    </row>
    <row r="112" spans="1:10" x14ac:dyDescent="0.25">
      <c r="A112" s="3" t="s">
        <v>284</v>
      </c>
      <c r="B112" s="12">
        <v>10</v>
      </c>
      <c r="C112" s="12">
        <v>8</v>
      </c>
      <c r="D112" s="12">
        <v>98</v>
      </c>
      <c r="E112" s="11">
        <v>9</v>
      </c>
      <c r="F112" s="12">
        <v>6</v>
      </c>
      <c r="G112" s="12">
        <v>96</v>
      </c>
      <c r="H112" s="11">
        <f>G112/F112</f>
        <v>16</v>
      </c>
      <c r="I112" s="12">
        <v>6</v>
      </c>
      <c r="J112" s="12"/>
    </row>
    <row r="113" spans="1:10" x14ac:dyDescent="0.25">
      <c r="A113" s="3" t="s">
        <v>251</v>
      </c>
      <c r="B113" s="12">
        <v>1</v>
      </c>
      <c r="C113" s="12">
        <v>1</v>
      </c>
      <c r="D113" s="12">
        <v>0</v>
      </c>
      <c r="E113" s="11">
        <f>D113/C113</f>
        <v>0</v>
      </c>
      <c r="F113" s="12"/>
      <c r="G113" s="12"/>
      <c r="H113" s="11" t="e">
        <f>G113/F113</f>
        <v>#DIV/0!</v>
      </c>
      <c r="I113" s="12"/>
      <c r="J113" s="12"/>
    </row>
    <row r="114" spans="1:10" x14ac:dyDescent="0.25">
      <c r="A114" s="3" t="s">
        <v>50</v>
      </c>
      <c r="B114" s="12">
        <v>55</v>
      </c>
      <c r="C114" s="12">
        <v>60</v>
      </c>
      <c r="D114" s="12">
        <v>2792</v>
      </c>
      <c r="E114" s="11">
        <f>D114/C114</f>
        <v>46.533333333333331</v>
      </c>
      <c r="F114" s="12">
        <v>57</v>
      </c>
      <c r="G114" s="12">
        <v>1105</v>
      </c>
      <c r="H114" s="11">
        <f>G114/F114</f>
        <v>19.385964912280702</v>
      </c>
      <c r="I114" s="12">
        <v>37</v>
      </c>
      <c r="J114" s="12"/>
    </row>
    <row r="115" spans="1:10" x14ac:dyDescent="0.25">
      <c r="A115" s="3" t="s">
        <v>199</v>
      </c>
      <c r="B115" s="12">
        <v>4</v>
      </c>
      <c r="C115" s="12">
        <v>2</v>
      </c>
      <c r="D115" s="12">
        <v>9</v>
      </c>
      <c r="E115" s="11">
        <f>D115/C115</f>
        <v>4.5</v>
      </c>
      <c r="F115" s="12">
        <v>4</v>
      </c>
      <c r="G115" s="12">
        <v>187</v>
      </c>
      <c r="H115" s="11">
        <f>G115/F115</f>
        <v>46.75</v>
      </c>
      <c r="I115" s="12">
        <v>1</v>
      </c>
      <c r="J115" s="12"/>
    </row>
    <row r="116" spans="1:10" x14ac:dyDescent="0.25">
      <c r="A116" s="4" t="s">
        <v>54</v>
      </c>
      <c r="B116" s="10">
        <v>53</v>
      </c>
      <c r="C116" s="10">
        <v>49</v>
      </c>
      <c r="D116" s="10">
        <v>1338</v>
      </c>
      <c r="E116" s="11">
        <f>D116/C116</f>
        <v>27.306122448979593</v>
      </c>
      <c r="F116" s="10">
        <v>153</v>
      </c>
      <c r="G116" s="10">
        <v>1924</v>
      </c>
      <c r="H116" s="11">
        <f>G116/F116</f>
        <v>12.57516339869281</v>
      </c>
      <c r="I116" s="10">
        <v>19</v>
      </c>
      <c r="J116" s="10">
        <v>1</v>
      </c>
    </row>
    <row r="117" spans="1:10" x14ac:dyDescent="0.25">
      <c r="A117" s="4" t="s">
        <v>96</v>
      </c>
      <c r="B117" s="10">
        <v>22</v>
      </c>
      <c r="C117" s="10">
        <v>14</v>
      </c>
      <c r="D117" s="10">
        <v>66</v>
      </c>
      <c r="E117" s="11">
        <f>D117/C117</f>
        <v>4.7142857142857144</v>
      </c>
      <c r="F117" s="10"/>
      <c r="G117" s="10"/>
      <c r="H117" s="11" t="e">
        <f>G117/F117</f>
        <v>#DIV/0!</v>
      </c>
      <c r="I117" s="10">
        <v>21</v>
      </c>
      <c r="J117" s="10">
        <v>2</v>
      </c>
    </row>
    <row r="118" spans="1:10" s="24" customFormat="1" x14ac:dyDescent="0.25">
      <c r="A118" s="3" t="s">
        <v>76</v>
      </c>
      <c r="B118" s="12">
        <v>28</v>
      </c>
      <c r="C118" s="12">
        <v>33</v>
      </c>
      <c r="D118" s="12">
        <v>436</v>
      </c>
      <c r="E118" s="11">
        <f>D118/C118</f>
        <v>13.212121212121213</v>
      </c>
      <c r="F118" s="12"/>
      <c r="G118" s="12"/>
      <c r="H118" s="11" t="e">
        <f>G118/F118</f>
        <v>#DIV/0!</v>
      </c>
      <c r="I118" s="12">
        <v>4</v>
      </c>
      <c r="J118" s="12"/>
    </row>
    <row r="119" spans="1:10" s="7" customFormat="1" x14ac:dyDescent="0.25">
      <c r="A119" s="4" t="s">
        <v>305</v>
      </c>
      <c r="B119" s="10">
        <f>4</f>
        <v>4</v>
      </c>
      <c r="C119" s="10">
        <f>3</f>
        <v>3</v>
      </c>
      <c r="D119" s="10">
        <f>12</f>
        <v>12</v>
      </c>
      <c r="E119" s="11">
        <f>D119/C119</f>
        <v>4</v>
      </c>
      <c r="F119" s="10"/>
      <c r="G119" s="10"/>
      <c r="H119" s="11"/>
      <c r="I119" s="10">
        <f>3</f>
        <v>3</v>
      </c>
      <c r="J119" s="10"/>
    </row>
    <row r="120" spans="1:10" x14ac:dyDescent="0.25">
      <c r="A120" s="3" t="s">
        <v>141</v>
      </c>
      <c r="B120" s="12">
        <v>11</v>
      </c>
      <c r="C120" s="12">
        <v>9</v>
      </c>
      <c r="D120" s="12">
        <v>205</v>
      </c>
      <c r="E120" s="11">
        <f>D120/C120</f>
        <v>22.777777777777779</v>
      </c>
      <c r="F120" s="12">
        <v>20</v>
      </c>
      <c r="G120" s="12">
        <v>473</v>
      </c>
      <c r="H120" s="11">
        <f>G120/F120</f>
        <v>23.65</v>
      </c>
      <c r="I120" s="12">
        <v>4</v>
      </c>
      <c r="J120" s="12"/>
    </row>
    <row r="121" spans="1:10" x14ac:dyDescent="0.25">
      <c r="A121" s="3" t="s">
        <v>152</v>
      </c>
      <c r="B121" s="12">
        <v>9</v>
      </c>
      <c r="C121" s="12">
        <v>9</v>
      </c>
      <c r="D121" s="12">
        <v>164</v>
      </c>
      <c r="E121" s="11">
        <f>D121/C121</f>
        <v>18.222222222222221</v>
      </c>
      <c r="F121" s="12"/>
      <c r="G121" s="12"/>
      <c r="H121" s="11" t="e">
        <f>G121/F121</f>
        <v>#DIV/0!</v>
      </c>
      <c r="I121" s="12">
        <v>3</v>
      </c>
      <c r="J121" s="12"/>
    </row>
    <row r="122" spans="1:10" x14ac:dyDescent="0.25">
      <c r="A122" s="3" t="s">
        <v>40</v>
      </c>
      <c r="B122" s="12">
        <v>65</v>
      </c>
      <c r="C122" s="12">
        <v>78</v>
      </c>
      <c r="D122" s="12">
        <v>1149</v>
      </c>
      <c r="E122" s="11">
        <f>D122/C122</f>
        <v>14.73076923076923</v>
      </c>
      <c r="F122" s="12">
        <v>6</v>
      </c>
      <c r="G122" s="12">
        <v>188</v>
      </c>
      <c r="H122" s="11">
        <f>G122/F122</f>
        <v>31.333333333333332</v>
      </c>
      <c r="I122" s="12">
        <v>22</v>
      </c>
      <c r="J122" s="12"/>
    </row>
    <row r="123" spans="1:10" x14ac:dyDescent="0.25">
      <c r="A123" s="4" t="s">
        <v>172</v>
      </c>
      <c r="B123" s="10">
        <v>7</v>
      </c>
      <c r="C123" s="10">
        <v>5</v>
      </c>
      <c r="D123" s="10">
        <v>23</v>
      </c>
      <c r="E123" s="11">
        <f>D123/C123</f>
        <v>4.5999999999999996</v>
      </c>
      <c r="F123" s="10">
        <v>26</v>
      </c>
      <c r="G123" s="10">
        <v>427</v>
      </c>
      <c r="H123" s="11">
        <f>G123/F123</f>
        <v>16.423076923076923</v>
      </c>
      <c r="I123" s="10">
        <v>3</v>
      </c>
      <c r="J123" s="10"/>
    </row>
    <row r="124" spans="1:10" x14ac:dyDescent="0.25">
      <c r="A124" s="4" t="s">
        <v>75</v>
      </c>
      <c r="B124" s="10">
        <v>30</v>
      </c>
      <c r="C124" s="10">
        <v>15</v>
      </c>
      <c r="D124" s="10">
        <v>160</v>
      </c>
      <c r="E124" s="11">
        <f>D124/C124</f>
        <v>10.666666666666666</v>
      </c>
      <c r="F124" s="10">
        <v>31</v>
      </c>
      <c r="G124" s="10">
        <v>970</v>
      </c>
      <c r="H124" s="11">
        <f>G124/F124</f>
        <v>31.29032258064516</v>
      </c>
      <c r="I124" s="10">
        <v>5</v>
      </c>
      <c r="J124" s="10"/>
    </row>
    <row r="125" spans="1:10" x14ac:dyDescent="0.25">
      <c r="A125" s="3" t="s">
        <v>209</v>
      </c>
      <c r="B125" s="12">
        <v>3</v>
      </c>
      <c r="C125" s="12">
        <v>4</v>
      </c>
      <c r="D125" s="12">
        <v>29</v>
      </c>
      <c r="E125" s="11">
        <f>D125/C125</f>
        <v>7.25</v>
      </c>
      <c r="F125" s="12"/>
      <c r="G125" s="12"/>
      <c r="H125" s="11" t="e">
        <f>G125/F125</f>
        <v>#DIV/0!</v>
      </c>
      <c r="I125" s="12">
        <v>1</v>
      </c>
      <c r="J125" s="12"/>
    </row>
    <row r="126" spans="1:10" x14ac:dyDescent="0.25">
      <c r="A126" s="3" t="s">
        <v>71</v>
      </c>
      <c r="B126" s="12">
        <v>33</v>
      </c>
      <c r="C126" s="12">
        <v>40</v>
      </c>
      <c r="D126" s="12">
        <v>729</v>
      </c>
      <c r="E126" s="11">
        <f>D126/C126</f>
        <v>18.225000000000001</v>
      </c>
      <c r="F126" s="12">
        <v>2</v>
      </c>
      <c r="G126" s="12">
        <v>32</v>
      </c>
      <c r="H126" s="11">
        <f>G126/F126</f>
        <v>16</v>
      </c>
      <c r="I126" s="12">
        <v>20</v>
      </c>
      <c r="J126" s="12"/>
    </row>
    <row r="127" spans="1:10" x14ac:dyDescent="0.25">
      <c r="A127" s="4" t="s">
        <v>269</v>
      </c>
      <c r="B127" s="10">
        <v>5</v>
      </c>
      <c r="C127" s="10">
        <v>4</v>
      </c>
      <c r="D127" s="10">
        <v>66</v>
      </c>
      <c r="E127" s="11">
        <f>D127/C127</f>
        <v>16.5</v>
      </c>
      <c r="F127" s="10">
        <v>17</v>
      </c>
      <c r="G127" s="10">
        <v>247</v>
      </c>
      <c r="H127" s="11">
        <f>G127/F127</f>
        <v>14.529411764705882</v>
      </c>
      <c r="I127" s="10">
        <v>5</v>
      </c>
      <c r="J127" s="10"/>
    </row>
    <row r="128" spans="1:10" x14ac:dyDescent="0.25">
      <c r="A128" s="3" t="s">
        <v>186</v>
      </c>
      <c r="B128" s="12">
        <v>5</v>
      </c>
      <c r="C128" s="12">
        <v>5</v>
      </c>
      <c r="D128" s="12">
        <v>37</v>
      </c>
      <c r="E128" s="11">
        <f>D128/C128</f>
        <v>7.4</v>
      </c>
      <c r="F128" s="12">
        <v>3</v>
      </c>
      <c r="G128" s="12">
        <v>139</v>
      </c>
      <c r="H128" s="11">
        <f>G128/F128</f>
        <v>46.333333333333336</v>
      </c>
      <c r="I128" s="12">
        <v>3</v>
      </c>
      <c r="J128" s="12"/>
    </row>
    <row r="129" spans="1:10" x14ac:dyDescent="0.25">
      <c r="A129" s="3" t="s">
        <v>128</v>
      </c>
      <c r="B129" s="12">
        <v>14</v>
      </c>
      <c r="C129" s="12">
        <v>14</v>
      </c>
      <c r="D129" s="12">
        <v>141</v>
      </c>
      <c r="E129" s="11">
        <f>D129/C129</f>
        <v>10.071428571428571</v>
      </c>
      <c r="F129" s="12"/>
      <c r="G129" s="12"/>
      <c r="H129" s="11" t="e">
        <f>G129/F129</f>
        <v>#DIV/0!</v>
      </c>
      <c r="I129" s="12">
        <v>1</v>
      </c>
      <c r="J129" s="12"/>
    </row>
    <row r="130" spans="1:10" x14ac:dyDescent="0.25">
      <c r="A130" s="3" t="s">
        <v>242</v>
      </c>
      <c r="B130" s="12">
        <v>1</v>
      </c>
      <c r="C130" s="12">
        <v>1</v>
      </c>
      <c r="D130" s="12">
        <v>8</v>
      </c>
      <c r="E130" s="11">
        <f>D130/C130</f>
        <v>8</v>
      </c>
      <c r="F130" s="12"/>
      <c r="G130" s="12"/>
      <c r="H130" s="11" t="e">
        <f>G130/F130</f>
        <v>#DIV/0!</v>
      </c>
      <c r="I130" s="12"/>
      <c r="J130" s="12"/>
    </row>
    <row r="131" spans="1:10" x14ac:dyDescent="0.25">
      <c r="A131" s="3" t="s">
        <v>163</v>
      </c>
      <c r="B131" s="12">
        <v>8</v>
      </c>
      <c r="C131" s="12">
        <v>8</v>
      </c>
      <c r="D131" s="12">
        <v>51</v>
      </c>
      <c r="E131" s="11">
        <f>D131/C131</f>
        <v>6.375</v>
      </c>
      <c r="F131" s="12">
        <v>0</v>
      </c>
      <c r="G131" s="12">
        <v>0</v>
      </c>
      <c r="H131" s="11" t="e">
        <f>G131/F131</f>
        <v>#DIV/0!</v>
      </c>
      <c r="I131" s="12">
        <v>1</v>
      </c>
      <c r="J131" s="12"/>
    </row>
    <row r="132" spans="1:10" x14ac:dyDescent="0.25">
      <c r="A132" s="3" t="s">
        <v>183</v>
      </c>
      <c r="B132" s="12">
        <v>5</v>
      </c>
      <c r="C132" s="12">
        <v>4</v>
      </c>
      <c r="D132" s="12">
        <v>107</v>
      </c>
      <c r="E132" s="11">
        <f>D132/C132</f>
        <v>26.75</v>
      </c>
      <c r="F132" s="12">
        <v>16</v>
      </c>
      <c r="G132" s="12">
        <v>198</v>
      </c>
      <c r="H132" s="11">
        <f>G132/F132</f>
        <v>12.375</v>
      </c>
      <c r="I132" s="12"/>
      <c r="J132" s="12"/>
    </row>
    <row r="133" spans="1:10" x14ac:dyDescent="0.25">
      <c r="A133" s="3" t="s">
        <v>187</v>
      </c>
      <c r="B133" s="12">
        <v>5</v>
      </c>
      <c r="C133" s="12">
        <v>4</v>
      </c>
      <c r="D133" s="12">
        <v>29</v>
      </c>
      <c r="E133" s="11">
        <f>D133/C133</f>
        <v>7.25</v>
      </c>
      <c r="F133" s="12">
        <v>9</v>
      </c>
      <c r="G133" s="12">
        <v>66</v>
      </c>
      <c r="H133" s="11">
        <f>G133/F133</f>
        <v>7.333333333333333</v>
      </c>
      <c r="I133" s="12">
        <v>2</v>
      </c>
      <c r="J133" s="12"/>
    </row>
    <row r="134" spans="1:10" x14ac:dyDescent="0.25">
      <c r="A134" s="3" t="s">
        <v>168</v>
      </c>
      <c r="B134" s="12">
        <v>7</v>
      </c>
      <c r="C134" s="12">
        <v>11</v>
      </c>
      <c r="D134" s="12">
        <v>129</v>
      </c>
      <c r="E134" s="11">
        <f>D134/C134</f>
        <v>11.727272727272727</v>
      </c>
      <c r="F134" s="12"/>
      <c r="G134" s="12"/>
      <c r="H134" s="11" t="e">
        <f>G134/F134</f>
        <v>#DIV/0!</v>
      </c>
      <c r="I134" s="12">
        <v>5</v>
      </c>
      <c r="J134" s="12"/>
    </row>
    <row r="135" spans="1:10" x14ac:dyDescent="0.25">
      <c r="A135" s="3" t="s">
        <v>180</v>
      </c>
      <c r="B135" s="12">
        <v>6</v>
      </c>
      <c r="C135" s="12">
        <v>3</v>
      </c>
      <c r="D135" s="12">
        <v>5</v>
      </c>
      <c r="E135" s="11">
        <f>D135/C135</f>
        <v>1.6666666666666667</v>
      </c>
      <c r="F135" s="12"/>
      <c r="G135" s="12"/>
      <c r="H135" s="11" t="e">
        <f>G135/F135</f>
        <v>#DIV/0!</v>
      </c>
      <c r="I135" s="12">
        <v>5</v>
      </c>
      <c r="J135" s="12"/>
    </row>
    <row r="136" spans="1:10" s="8" customFormat="1" x14ac:dyDescent="0.25">
      <c r="A136" s="6" t="s">
        <v>315</v>
      </c>
      <c r="B136" s="13">
        <f>8</f>
        <v>8</v>
      </c>
      <c r="C136" s="13">
        <f>11</f>
        <v>11</v>
      </c>
      <c r="D136" s="13">
        <f>214</f>
        <v>214</v>
      </c>
      <c r="E136" s="14">
        <f>D136/C136</f>
        <v>19.454545454545453</v>
      </c>
      <c r="F136" s="13">
        <f>8</f>
        <v>8</v>
      </c>
      <c r="G136" s="13">
        <f>167</f>
        <v>167</v>
      </c>
      <c r="H136" s="11">
        <f>G136/F136</f>
        <v>20.875</v>
      </c>
      <c r="I136" s="13">
        <f>1</f>
        <v>1</v>
      </c>
      <c r="J136" s="13"/>
    </row>
    <row r="137" spans="1:10" x14ac:dyDescent="0.25">
      <c r="A137" s="3" t="s">
        <v>102</v>
      </c>
      <c r="B137" s="12">
        <v>19</v>
      </c>
      <c r="C137" s="12">
        <v>18</v>
      </c>
      <c r="D137" s="12">
        <v>571</v>
      </c>
      <c r="E137" s="11">
        <f>D137/C137</f>
        <v>31.722222222222221</v>
      </c>
      <c r="F137" s="12">
        <v>43</v>
      </c>
      <c r="G137" s="12">
        <v>461</v>
      </c>
      <c r="H137" s="11">
        <f>G137/F137</f>
        <v>10.720930232558139</v>
      </c>
      <c r="I137" s="12">
        <v>9</v>
      </c>
      <c r="J137" s="12"/>
    </row>
    <row r="138" spans="1:10" x14ac:dyDescent="0.25">
      <c r="A138" s="3" t="s">
        <v>194</v>
      </c>
      <c r="B138" s="12">
        <v>4</v>
      </c>
      <c r="C138" s="12">
        <v>5</v>
      </c>
      <c r="D138" s="12">
        <v>61</v>
      </c>
      <c r="E138" s="11">
        <f>D138/C138</f>
        <v>12.2</v>
      </c>
      <c r="F138" s="12"/>
      <c r="G138" s="12"/>
      <c r="H138" s="11" t="e">
        <f>G138/F138</f>
        <v>#DIV/0!</v>
      </c>
      <c r="I138" s="12">
        <v>1</v>
      </c>
      <c r="J138" s="12"/>
    </row>
    <row r="139" spans="1:10" x14ac:dyDescent="0.25">
      <c r="A139" s="3" t="s">
        <v>226</v>
      </c>
      <c r="B139" s="12">
        <v>2</v>
      </c>
      <c r="C139" s="12">
        <v>1</v>
      </c>
      <c r="D139" s="12">
        <v>6</v>
      </c>
      <c r="E139" s="11">
        <f>D139/C139</f>
        <v>6</v>
      </c>
      <c r="F139" s="12">
        <v>1</v>
      </c>
      <c r="G139" s="12">
        <v>37</v>
      </c>
      <c r="H139" s="11">
        <f>G139/F139</f>
        <v>37</v>
      </c>
      <c r="I139" s="12"/>
      <c r="J139" s="12"/>
    </row>
    <row r="140" spans="1:10" x14ac:dyDescent="0.25">
      <c r="A140" s="4" t="s">
        <v>106</v>
      </c>
      <c r="B140" s="10">
        <v>19</v>
      </c>
      <c r="C140" s="10">
        <v>21</v>
      </c>
      <c r="D140" s="10">
        <v>318</v>
      </c>
      <c r="E140" s="11">
        <f>D140/C140</f>
        <v>15.142857142857142</v>
      </c>
      <c r="F140" s="10">
        <v>0</v>
      </c>
      <c r="G140" s="10">
        <v>29</v>
      </c>
      <c r="H140" s="11" t="e">
        <f>G140/F140</f>
        <v>#DIV/0!</v>
      </c>
      <c r="I140" s="10">
        <v>6</v>
      </c>
      <c r="J140" s="10"/>
    </row>
    <row r="141" spans="1:10" x14ac:dyDescent="0.25">
      <c r="A141" s="4" t="s">
        <v>147</v>
      </c>
      <c r="B141" s="10">
        <v>10</v>
      </c>
      <c r="C141" s="10">
        <v>13</v>
      </c>
      <c r="D141" s="10">
        <v>116</v>
      </c>
      <c r="E141" s="11">
        <f>D141/C141</f>
        <v>8.9230769230769234</v>
      </c>
      <c r="F141" s="10">
        <v>0</v>
      </c>
      <c r="G141" s="10">
        <v>0</v>
      </c>
      <c r="H141" s="11" t="e">
        <f>G141/F141</f>
        <v>#DIV/0!</v>
      </c>
      <c r="I141" s="10">
        <v>1</v>
      </c>
      <c r="J141" s="10"/>
    </row>
    <row r="142" spans="1:10" x14ac:dyDescent="0.25">
      <c r="A142" s="3" t="s">
        <v>153</v>
      </c>
      <c r="B142" s="12">
        <v>9</v>
      </c>
      <c r="C142" s="12">
        <v>3</v>
      </c>
      <c r="D142" s="12">
        <v>47</v>
      </c>
      <c r="E142" s="11">
        <f>D142/C142</f>
        <v>15.666666666666666</v>
      </c>
      <c r="F142" s="12">
        <v>7</v>
      </c>
      <c r="G142" s="12">
        <v>214</v>
      </c>
      <c r="H142" s="11">
        <f>G142/F142</f>
        <v>30.571428571428573</v>
      </c>
      <c r="I142" s="12">
        <v>5</v>
      </c>
      <c r="J142" s="12"/>
    </row>
    <row r="143" spans="1:10" x14ac:dyDescent="0.25">
      <c r="A143" s="3" t="s">
        <v>230</v>
      </c>
      <c r="B143" s="12">
        <v>2</v>
      </c>
      <c r="C143" s="12">
        <v>3</v>
      </c>
      <c r="D143" s="12">
        <v>11</v>
      </c>
      <c r="E143" s="11">
        <f>D143/C143</f>
        <v>3.6666666666666665</v>
      </c>
      <c r="F143" s="12"/>
      <c r="G143" s="12"/>
      <c r="H143" s="11" t="e">
        <f>G143/F143</f>
        <v>#DIV/0!</v>
      </c>
      <c r="I143" s="12">
        <v>1</v>
      </c>
      <c r="J143" s="12"/>
    </row>
    <row r="144" spans="1:10" x14ac:dyDescent="0.25">
      <c r="A144" s="3" t="s">
        <v>174</v>
      </c>
      <c r="B144" s="12">
        <v>6</v>
      </c>
      <c r="C144" s="12">
        <v>6</v>
      </c>
      <c r="D144" s="12">
        <v>100</v>
      </c>
      <c r="E144" s="11">
        <f>D144/C144</f>
        <v>16.666666666666668</v>
      </c>
      <c r="F144" s="12">
        <v>3</v>
      </c>
      <c r="G144" s="12">
        <v>31</v>
      </c>
      <c r="H144" s="11">
        <f>G144/F144</f>
        <v>10.333333333333334</v>
      </c>
      <c r="I144" s="12">
        <v>3</v>
      </c>
      <c r="J144" s="12"/>
    </row>
    <row r="145" spans="1:10" x14ac:dyDescent="0.25">
      <c r="A145" s="3" t="s">
        <v>129</v>
      </c>
      <c r="B145" s="12">
        <v>14</v>
      </c>
      <c r="C145" s="12">
        <v>12</v>
      </c>
      <c r="D145" s="12">
        <v>112</v>
      </c>
      <c r="E145" s="11">
        <f>D145/C145</f>
        <v>9.3333333333333339</v>
      </c>
      <c r="F145" s="12">
        <v>3</v>
      </c>
      <c r="G145" s="12">
        <v>48</v>
      </c>
      <c r="H145" s="11">
        <f>G145/F145</f>
        <v>16</v>
      </c>
      <c r="I145" s="12">
        <v>6</v>
      </c>
      <c r="J145" s="12"/>
    </row>
    <row r="146" spans="1:10" x14ac:dyDescent="0.25">
      <c r="A146" s="3" t="s">
        <v>145</v>
      </c>
      <c r="B146" s="12">
        <v>10</v>
      </c>
      <c r="C146" s="12">
        <v>9</v>
      </c>
      <c r="D146" s="12">
        <v>297</v>
      </c>
      <c r="E146" s="11">
        <f>D146/C146</f>
        <v>33</v>
      </c>
      <c r="F146" s="12">
        <v>10</v>
      </c>
      <c r="G146" s="12">
        <v>111</v>
      </c>
      <c r="H146" s="11">
        <f>G146/F146</f>
        <v>11.1</v>
      </c>
      <c r="I146" s="12">
        <v>3</v>
      </c>
      <c r="J146" s="12"/>
    </row>
    <row r="147" spans="1:10" x14ac:dyDescent="0.25">
      <c r="A147" s="3" t="s">
        <v>142</v>
      </c>
      <c r="B147" s="12">
        <v>11</v>
      </c>
      <c r="C147" s="12">
        <v>11</v>
      </c>
      <c r="D147" s="12">
        <v>137</v>
      </c>
      <c r="E147" s="11">
        <f>D147/C147</f>
        <v>12.454545454545455</v>
      </c>
      <c r="F147" s="12">
        <v>10</v>
      </c>
      <c r="G147" s="12">
        <v>213</v>
      </c>
      <c r="H147" s="11">
        <f>G147/F147</f>
        <v>21.3</v>
      </c>
      <c r="I147" s="12">
        <v>5</v>
      </c>
      <c r="J147" s="12"/>
    </row>
    <row r="148" spans="1:10" x14ac:dyDescent="0.25">
      <c r="A148" s="3" t="s">
        <v>72</v>
      </c>
      <c r="B148" s="12">
        <v>31</v>
      </c>
      <c r="C148" s="12">
        <v>34</v>
      </c>
      <c r="D148" s="12">
        <v>463</v>
      </c>
      <c r="E148" s="11">
        <f>D148/C148</f>
        <v>13.617647058823529</v>
      </c>
      <c r="F148" s="12"/>
      <c r="G148" s="12"/>
      <c r="H148" s="11" t="e">
        <f>G148/F148</f>
        <v>#DIV/0!</v>
      </c>
      <c r="I148" s="12">
        <v>12</v>
      </c>
      <c r="J148" s="12"/>
    </row>
    <row r="149" spans="1:10" x14ac:dyDescent="0.25">
      <c r="A149" s="3" t="s">
        <v>263</v>
      </c>
      <c r="B149" s="12">
        <v>1</v>
      </c>
      <c r="C149" s="12"/>
      <c r="D149" s="12"/>
      <c r="E149" s="11" t="s">
        <v>273</v>
      </c>
      <c r="F149" s="12"/>
      <c r="G149" s="12"/>
      <c r="H149" s="11" t="e">
        <f>G149/F149</f>
        <v>#DIV/0!</v>
      </c>
      <c r="I149" s="12"/>
      <c r="J149" s="12"/>
    </row>
    <row r="150" spans="1:10" x14ac:dyDescent="0.25">
      <c r="A150" s="3" t="s">
        <v>24</v>
      </c>
      <c r="B150" s="12">
        <v>106</v>
      </c>
      <c r="C150" s="12">
        <v>47</v>
      </c>
      <c r="D150" s="12">
        <v>426</v>
      </c>
      <c r="E150" s="11">
        <f>D150/C150</f>
        <v>9.0638297872340434</v>
      </c>
      <c r="F150" s="12">
        <v>191</v>
      </c>
      <c r="G150" s="12">
        <v>4098</v>
      </c>
      <c r="H150" s="11">
        <f>G150/F150</f>
        <v>21.455497382198953</v>
      </c>
      <c r="I150" s="12">
        <v>35</v>
      </c>
      <c r="J150" s="12"/>
    </row>
    <row r="151" spans="1:10" s="7" customFormat="1" x14ac:dyDescent="0.25">
      <c r="A151" s="3" t="s">
        <v>49</v>
      </c>
      <c r="B151" s="12">
        <v>56</v>
      </c>
      <c r="C151" s="12">
        <v>59</v>
      </c>
      <c r="D151" s="12">
        <v>750</v>
      </c>
      <c r="E151" s="11">
        <f>D151/C151</f>
        <v>12.711864406779661</v>
      </c>
      <c r="F151" s="12">
        <v>23</v>
      </c>
      <c r="G151" s="12">
        <v>395</v>
      </c>
      <c r="H151" s="11">
        <f>G151/F151</f>
        <v>17.173913043478262</v>
      </c>
      <c r="I151" s="12">
        <v>39</v>
      </c>
      <c r="J151" s="12"/>
    </row>
    <row r="152" spans="1:10" x14ac:dyDescent="0.25">
      <c r="A152" s="3" t="s">
        <v>253</v>
      </c>
      <c r="B152" s="12">
        <v>1</v>
      </c>
      <c r="C152" s="12"/>
      <c r="D152" s="12"/>
      <c r="E152" s="11" t="s">
        <v>273</v>
      </c>
      <c r="F152" s="12">
        <v>3</v>
      </c>
      <c r="G152" s="12">
        <v>71</v>
      </c>
      <c r="H152" s="11">
        <f>G152/F152</f>
        <v>23.666666666666668</v>
      </c>
      <c r="I152" s="12">
        <v>1</v>
      </c>
      <c r="J152" s="12"/>
    </row>
    <row r="153" spans="1:10" s="7" customFormat="1" x14ac:dyDescent="0.25">
      <c r="A153" s="4" t="s">
        <v>279</v>
      </c>
      <c r="B153" s="10">
        <v>12</v>
      </c>
      <c r="C153" s="10">
        <v>10</v>
      </c>
      <c r="D153" s="10">
        <v>80</v>
      </c>
      <c r="E153" s="11">
        <f>D153/C153</f>
        <v>8</v>
      </c>
      <c r="F153" s="10">
        <f>9</f>
        <v>9</v>
      </c>
      <c r="G153" s="10">
        <f>316</f>
        <v>316</v>
      </c>
      <c r="H153" s="11">
        <f>G153/F153</f>
        <v>35.111111111111114</v>
      </c>
      <c r="I153" s="10">
        <v>11</v>
      </c>
      <c r="J153" s="10"/>
    </row>
    <row r="154" spans="1:10" x14ac:dyDescent="0.25">
      <c r="A154" s="3" t="s">
        <v>99</v>
      </c>
      <c r="B154" s="12">
        <v>20</v>
      </c>
      <c r="C154" s="12">
        <v>21</v>
      </c>
      <c r="D154" s="12">
        <v>232</v>
      </c>
      <c r="E154" s="11">
        <f>D154/C154</f>
        <v>11.047619047619047</v>
      </c>
      <c r="F154" s="12">
        <v>14</v>
      </c>
      <c r="G154" s="12">
        <v>306</v>
      </c>
      <c r="H154" s="11">
        <f>G154/F154</f>
        <v>21.857142857142858</v>
      </c>
      <c r="I154" s="12">
        <v>9</v>
      </c>
      <c r="J154" s="12"/>
    </row>
    <row r="155" spans="1:10" x14ac:dyDescent="0.25">
      <c r="A155" s="4" t="s">
        <v>56</v>
      </c>
      <c r="B155" s="10">
        <v>71</v>
      </c>
      <c r="C155" s="10">
        <v>38</v>
      </c>
      <c r="D155" s="10">
        <v>428</v>
      </c>
      <c r="E155" s="11">
        <f>D155/C155</f>
        <v>11.263157894736842</v>
      </c>
      <c r="F155" s="10">
        <v>114</v>
      </c>
      <c r="G155" s="10">
        <v>2365</v>
      </c>
      <c r="H155" s="11">
        <f>G155/F155</f>
        <v>20.745614035087719</v>
      </c>
      <c r="I155" s="10">
        <v>21</v>
      </c>
      <c r="J155" s="10"/>
    </row>
    <row r="156" spans="1:10" s="8" customFormat="1" x14ac:dyDescent="0.25">
      <c r="A156" s="3" t="s">
        <v>109</v>
      </c>
      <c r="B156" s="12">
        <v>17</v>
      </c>
      <c r="C156" s="12">
        <v>14</v>
      </c>
      <c r="D156" s="12">
        <v>502</v>
      </c>
      <c r="E156" s="11">
        <f>D156/C156</f>
        <v>35.857142857142854</v>
      </c>
      <c r="F156" s="12">
        <v>35</v>
      </c>
      <c r="G156" s="12">
        <v>692</v>
      </c>
      <c r="H156" s="11">
        <f>G156/F156</f>
        <v>19.771428571428572</v>
      </c>
      <c r="I156" s="12">
        <v>10</v>
      </c>
      <c r="J156" s="12"/>
    </row>
    <row r="157" spans="1:10" x14ac:dyDescent="0.25">
      <c r="A157" s="3" t="s">
        <v>77</v>
      </c>
      <c r="B157" s="12">
        <v>27</v>
      </c>
      <c r="C157" s="12">
        <v>29</v>
      </c>
      <c r="D157" s="12">
        <v>825</v>
      </c>
      <c r="E157" s="11">
        <f>D157/C157</f>
        <v>28.448275862068964</v>
      </c>
      <c r="F157" s="12">
        <v>1</v>
      </c>
      <c r="G157" s="12">
        <v>27</v>
      </c>
      <c r="H157" s="11">
        <f>G157/F157</f>
        <v>27</v>
      </c>
      <c r="I157" s="12">
        <v>9</v>
      </c>
      <c r="J157" s="12"/>
    </row>
    <row r="158" spans="1:10" x14ac:dyDescent="0.25">
      <c r="A158" s="4" t="s">
        <v>48</v>
      </c>
      <c r="B158" s="10">
        <f>75+9+5+16+1+11+1+13+15</f>
        <v>146</v>
      </c>
      <c r="C158" s="10">
        <f>57+10+4+18+1+11+0+13+15</f>
        <v>129</v>
      </c>
      <c r="D158" s="10">
        <f>1094+162+191+293+22+290+31+299+306</f>
        <v>2688</v>
      </c>
      <c r="E158" s="11">
        <f>D158/C158</f>
        <v>20.837209302325583</v>
      </c>
      <c r="F158" s="10">
        <v>57</v>
      </c>
      <c r="G158" s="10">
        <f>1191+25</f>
        <v>1216</v>
      </c>
      <c r="H158" s="11">
        <f>G158/F158</f>
        <v>21.333333333333332</v>
      </c>
      <c r="I158" s="10">
        <f>26+2+3+3+4+4</f>
        <v>42</v>
      </c>
      <c r="J158" s="13"/>
    </row>
    <row r="159" spans="1:10" x14ac:dyDescent="0.25">
      <c r="A159" s="3" t="s">
        <v>255</v>
      </c>
      <c r="B159" s="12">
        <v>1</v>
      </c>
      <c r="C159" s="12"/>
      <c r="D159" s="12"/>
      <c r="E159" s="11" t="s">
        <v>273</v>
      </c>
      <c r="F159" s="12">
        <v>2</v>
      </c>
      <c r="G159" s="12">
        <v>58</v>
      </c>
      <c r="H159" s="11">
        <f>G159/F159</f>
        <v>29</v>
      </c>
      <c r="I159" s="12"/>
      <c r="J159" s="12"/>
    </row>
    <row r="160" spans="1:10" x14ac:dyDescent="0.25">
      <c r="A160" s="3" t="s">
        <v>260</v>
      </c>
      <c r="B160" s="12">
        <v>1</v>
      </c>
      <c r="C160" s="12">
        <v>0</v>
      </c>
      <c r="D160" s="12">
        <v>6</v>
      </c>
      <c r="E160" s="11" t="e">
        <f>D160/C160</f>
        <v>#DIV/0!</v>
      </c>
      <c r="F160" s="12"/>
      <c r="G160" s="12"/>
      <c r="H160" s="11" t="e">
        <f>G160/F160</f>
        <v>#DIV/0!</v>
      </c>
      <c r="I160" s="12"/>
      <c r="J160" s="12"/>
    </row>
    <row r="161" spans="1:10" x14ac:dyDescent="0.25">
      <c r="A161" s="4" t="s">
        <v>14</v>
      </c>
      <c r="B161" s="10">
        <v>152</v>
      </c>
      <c r="C161" s="10">
        <v>170</v>
      </c>
      <c r="D161" s="10">
        <v>3913</v>
      </c>
      <c r="E161" s="11">
        <f>D161/C161</f>
        <v>23.017647058823531</v>
      </c>
      <c r="F161" s="10">
        <v>2</v>
      </c>
      <c r="G161" s="10">
        <v>74</v>
      </c>
      <c r="H161" s="11">
        <f>G161/F161</f>
        <v>37</v>
      </c>
      <c r="I161" s="10">
        <v>72</v>
      </c>
      <c r="J161" s="10"/>
    </row>
    <row r="162" spans="1:10" s="8" customFormat="1" x14ac:dyDescent="0.25">
      <c r="A162" s="3" t="s">
        <v>155</v>
      </c>
      <c r="B162" s="12">
        <v>9</v>
      </c>
      <c r="C162" s="12">
        <v>7</v>
      </c>
      <c r="D162" s="12">
        <v>70</v>
      </c>
      <c r="E162" s="11">
        <f>D162/C162</f>
        <v>10</v>
      </c>
      <c r="F162" s="12"/>
      <c r="G162" s="12"/>
      <c r="H162" s="11" t="e">
        <f>G162/F162</f>
        <v>#DIV/0!</v>
      </c>
      <c r="I162" s="12">
        <v>20</v>
      </c>
      <c r="J162" s="12">
        <v>1</v>
      </c>
    </row>
    <row r="163" spans="1:10" x14ac:dyDescent="0.25">
      <c r="A163" s="3" t="s">
        <v>214</v>
      </c>
      <c r="B163" s="12">
        <v>3</v>
      </c>
      <c r="C163" s="12">
        <v>4</v>
      </c>
      <c r="D163" s="12">
        <v>10</v>
      </c>
      <c r="E163" s="11">
        <f>D163/C163</f>
        <v>2.5</v>
      </c>
      <c r="F163" s="12"/>
      <c r="G163" s="12"/>
      <c r="H163" s="11" t="e">
        <f>G163/F163</f>
        <v>#DIV/0!</v>
      </c>
      <c r="I163" s="12">
        <v>3</v>
      </c>
      <c r="J163" s="12"/>
    </row>
    <row r="164" spans="1:10" x14ac:dyDescent="0.25">
      <c r="A164" s="6" t="s">
        <v>30</v>
      </c>
      <c r="B164" s="13">
        <f>94+13+9+16+14+17+18+16+9+11+10+12+2</f>
        <v>241</v>
      </c>
      <c r="C164" s="13">
        <f>59+10+5+6+4+6+6+6+1+4+0+7+1</f>
        <v>115</v>
      </c>
      <c r="D164" s="13">
        <f>552+114+39+48+88+69+94+24+11+32+11+51+1</f>
        <v>1134</v>
      </c>
      <c r="E164" s="14">
        <f>D164/C164</f>
        <v>9.8608695652173921</v>
      </c>
      <c r="F164" s="13">
        <f>166+21+14+27+27+44+33+27+15+9+13+14+3</f>
        <v>413</v>
      </c>
      <c r="G164" s="13">
        <f>2995+593+293+448+388+490+476+397+280+275+350+272+36</f>
        <v>7293</v>
      </c>
      <c r="H164" s="14">
        <f>G164/F164</f>
        <v>17.658595641646489</v>
      </c>
      <c r="I164" s="13">
        <f>41+3+3+3+1+3+3+5+3</f>
        <v>65</v>
      </c>
      <c r="J164" s="13"/>
    </row>
    <row r="165" spans="1:10" x14ac:dyDescent="0.25">
      <c r="A165" s="3" t="s">
        <v>52</v>
      </c>
      <c r="B165" s="12">
        <v>54</v>
      </c>
      <c r="C165" s="12">
        <v>66</v>
      </c>
      <c r="D165" s="12">
        <v>1791</v>
      </c>
      <c r="E165" s="11">
        <f>D165/C165</f>
        <v>27.136363636363637</v>
      </c>
      <c r="F165" s="12">
        <v>1</v>
      </c>
      <c r="G165" s="12">
        <v>58</v>
      </c>
      <c r="H165" s="11">
        <f>G165/F165</f>
        <v>58</v>
      </c>
      <c r="I165" s="12">
        <v>14</v>
      </c>
      <c r="J165" s="12"/>
    </row>
    <row r="166" spans="1:10" x14ac:dyDescent="0.25">
      <c r="A166" s="3" t="s">
        <v>228</v>
      </c>
      <c r="B166" s="12">
        <v>2</v>
      </c>
      <c r="C166" s="12">
        <v>2</v>
      </c>
      <c r="D166" s="12">
        <v>11</v>
      </c>
      <c r="E166" s="11">
        <f>D166/C166</f>
        <v>5.5</v>
      </c>
      <c r="F166" s="12"/>
      <c r="G166" s="12"/>
      <c r="H166" s="11" t="e">
        <f>G166/F166</f>
        <v>#DIV/0!</v>
      </c>
      <c r="I166" s="12"/>
      <c r="J166" s="12"/>
    </row>
    <row r="167" spans="1:10" x14ac:dyDescent="0.25">
      <c r="A167" s="3" t="s">
        <v>156</v>
      </c>
      <c r="B167" s="12">
        <v>9</v>
      </c>
      <c r="C167" s="12">
        <v>6</v>
      </c>
      <c r="D167" s="12">
        <v>51</v>
      </c>
      <c r="E167" s="11">
        <f>D167/C167</f>
        <v>8.5</v>
      </c>
      <c r="F167" s="12">
        <v>2</v>
      </c>
      <c r="G167" s="12">
        <v>69</v>
      </c>
      <c r="H167" s="11">
        <f>G167/F167</f>
        <v>34.5</v>
      </c>
      <c r="I167" s="12">
        <v>3</v>
      </c>
      <c r="J167" s="12"/>
    </row>
    <row r="168" spans="1:10" x14ac:dyDescent="0.25">
      <c r="A168" s="3" t="s">
        <v>210</v>
      </c>
      <c r="B168" s="12">
        <v>3</v>
      </c>
      <c r="C168" s="12">
        <v>1</v>
      </c>
      <c r="D168" s="12">
        <v>6</v>
      </c>
      <c r="E168" s="11">
        <f>D168/C168</f>
        <v>6</v>
      </c>
      <c r="F168" s="12">
        <v>7</v>
      </c>
      <c r="G168" s="12">
        <v>43</v>
      </c>
      <c r="H168" s="11">
        <f>G168/F168</f>
        <v>6.1428571428571432</v>
      </c>
      <c r="I168" s="12">
        <v>1</v>
      </c>
      <c r="J168" s="12"/>
    </row>
    <row r="169" spans="1:10" x14ac:dyDescent="0.25">
      <c r="A169" s="3" t="s">
        <v>241</v>
      </c>
      <c r="B169" s="12">
        <v>1</v>
      </c>
      <c r="C169" s="12">
        <v>1</v>
      </c>
      <c r="D169" s="12">
        <v>9</v>
      </c>
      <c r="E169" s="11">
        <f>D169/C169</f>
        <v>9</v>
      </c>
      <c r="F169" s="12"/>
      <c r="G169" s="12"/>
      <c r="H169" s="11" t="e">
        <f>G169/F169</f>
        <v>#DIV/0!</v>
      </c>
      <c r="I169" s="12"/>
      <c r="J169" s="12"/>
    </row>
    <row r="170" spans="1:10" x14ac:dyDescent="0.25">
      <c r="A170" s="3" t="s">
        <v>43</v>
      </c>
      <c r="B170" s="12">
        <v>64</v>
      </c>
      <c r="C170" s="12">
        <v>65</v>
      </c>
      <c r="D170" s="12">
        <v>1634</v>
      </c>
      <c r="E170" s="11">
        <f>D170/C170</f>
        <v>25.138461538461538</v>
      </c>
      <c r="F170" s="12">
        <v>6</v>
      </c>
      <c r="G170" s="12">
        <v>117</v>
      </c>
      <c r="H170" s="11">
        <f>G170/F170</f>
        <v>19.5</v>
      </c>
      <c r="I170" s="12">
        <v>24</v>
      </c>
      <c r="J170" s="12"/>
    </row>
    <row r="171" spans="1:10" x14ac:dyDescent="0.25">
      <c r="A171" s="3" t="s">
        <v>175</v>
      </c>
      <c r="B171" s="12">
        <v>6</v>
      </c>
      <c r="C171" s="12">
        <v>8</v>
      </c>
      <c r="D171" s="12">
        <v>104</v>
      </c>
      <c r="E171" s="11">
        <f>D171/C171</f>
        <v>13</v>
      </c>
      <c r="F171" s="12"/>
      <c r="G171" s="12"/>
      <c r="H171" s="11" t="e">
        <f>G171/F171</f>
        <v>#DIV/0!</v>
      </c>
      <c r="I171" s="12">
        <v>2</v>
      </c>
      <c r="J171" s="12"/>
    </row>
    <row r="172" spans="1:10" x14ac:dyDescent="0.25">
      <c r="A172" s="3" t="s">
        <v>100</v>
      </c>
      <c r="B172" s="12">
        <v>20</v>
      </c>
      <c r="C172" s="12">
        <v>25</v>
      </c>
      <c r="D172" s="12">
        <v>267</v>
      </c>
      <c r="E172" s="11">
        <f>D172/C172</f>
        <v>10.68</v>
      </c>
      <c r="F172" s="12">
        <v>62</v>
      </c>
      <c r="G172" s="12">
        <v>741</v>
      </c>
      <c r="H172" s="11">
        <f>G172/F172</f>
        <v>11.951612903225806</v>
      </c>
      <c r="I172" s="12">
        <v>6</v>
      </c>
      <c r="J172" s="12"/>
    </row>
    <row r="173" spans="1:10" x14ac:dyDescent="0.25">
      <c r="A173" s="3" t="s">
        <v>18</v>
      </c>
      <c r="B173" s="12">
        <v>136</v>
      </c>
      <c r="C173" s="12">
        <v>130</v>
      </c>
      <c r="D173" s="12">
        <v>1793</v>
      </c>
      <c r="E173" s="11">
        <f>D173/C173</f>
        <v>13.792307692307693</v>
      </c>
      <c r="F173" s="12">
        <v>589</v>
      </c>
      <c r="G173" s="12">
        <v>6603</v>
      </c>
      <c r="H173" s="11">
        <f>G173/F173</f>
        <v>11.210526315789474</v>
      </c>
      <c r="I173" s="12">
        <v>30</v>
      </c>
      <c r="J173" s="12">
        <v>1</v>
      </c>
    </row>
    <row r="174" spans="1:10" x14ac:dyDescent="0.25">
      <c r="A174" s="3" t="s">
        <v>212</v>
      </c>
      <c r="B174" s="12">
        <v>3</v>
      </c>
      <c r="C174" s="12">
        <v>2</v>
      </c>
      <c r="D174" s="12">
        <v>8</v>
      </c>
      <c r="E174" s="11">
        <f>D174/C174</f>
        <v>4</v>
      </c>
      <c r="F174" s="12">
        <v>6</v>
      </c>
      <c r="G174" s="12">
        <v>112</v>
      </c>
      <c r="H174" s="11">
        <f>G174/F174</f>
        <v>18.666666666666668</v>
      </c>
      <c r="I174" s="12"/>
      <c r="J174" s="12"/>
    </row>
    <row r="175" spans="1:10" x14ac:dyDescent="0.25">
      <c r="A175" s="3" t="s">
        <v>208</v>
      </c>
      <c r="B175" s="12">
        <v>3</v>
      </c>
      <c r="C175" s="12">
        <v>3</v>
      </c>
      <c r="D175" s="12">
        <v>25</v>
      </c>
      <c r="E175" s="11">
        <f>D175/C175</f>
        <v>8.3333333333333339</v>
      </c>
      <c r="F175" s="12"/>
      <c r="G175" s="12"/>
      <c r="H175" s="11" t="e">
        <f>G175/F175</f>
        <v>#DIV/0!</v>
      </c>
      <c r="I175" s="12">
        <v>1</v>
      </c>
      <c r="J175" s="12"/>
    </row>
    <row r="176" spans="1:10" x14ac:dyDescent="0.25">
      <c r="A176" s="3" t="s">
        <v>204</v>
      </c>
      <c r="B176" s="12">
        <v>3</v>
      </c>
      <c r="C176" s="12">
        <v>3</v>
      </c>
      <c r="D176" s="12">
        <v>41</v>
      </c>
      <c r="E176" s="11">
        <f>D176/C176</f>
        <v>13.666666666666666</v>
      </c>
      <c r="F176" s="12">
        <v>0</v>
      </c>
      <c r="G176" s="12">
        <v>12</v>
      </c>
      <c r="H176" s="11" t="e">
        <f>G176/F176</f>
        <v>#DIV/0!</v>
      </c>
      <c r="I176" s="12"/>
      <c r="J176" s="12"/>
    </row>
    <row r="177" spans="1:10" x14ac:dyDescent="0.25">
      <c r="A177" s="3" t="s">
        <v>113</v>
      </c>
      <c r="B177" s="12">
        <v>16</v>
      </c>
      <c r="C177" s="12">
        <v>13</v>
      </c>
      <c r="D177" s="12">
        <v>401</v>
      </c>
      <c r="E177" s="11">
        <f>D177/C177</f>
        <v>30.846153846153847</v>
      </c>
      <c r="F177" s="12">
        <v>0</v>
      </c>
      <c r="G177" s="12">
        <v>3</v>
      </c>
      <c r="H177" s="11" t="e">
        <f>G177/F177</f>
        <v>#DIV/0!</v>
      </c>
      <c r="I177" s="12">
        <v>3</v>
      </c>
      <c r="J177" s="12"/>
    </row>
    <row r="178" spans="1:10" x14ac:dyDescent="0.25">
      <c r="A178" s="3" t="s">
        <v>9</v>
      </c>
      <c r="B178" s="12">
        <v>198</v>
      </c>
      <c r="C178" s="12">
        <v>156</v>
      </c>
      <c r="D178" s="12">
        <v>3988</v>
      </c>
      <c r="E178" s="11">
        <f>D178/C178</f>
        <v>25.564102564102566</v>
      </c>
      <c r="F178" s="12">
        <v>319</v>
      </c>
      <c r="G178" s="12">
        <v>6461</v>
      </c>
      <c r="H178" s="11">
        <f>G178/F178</f>
        <v>20.253918495297807</v>
      </c>
      <c r="I178" s="12">
        <v>123</v>
      </c>
      <c r="J178" s="12"/>
    </row>
    <row r="179" spans="1:10" x14ac:dyDescent="0.25">
      <c r="A179" s="3" t="s">
        <v>193</v>
      </c>
      <c r="B179" s="12">
        <v>4</v>
      </c>
      <c r="C179" s="12">
        <v>4</v>
      </c>
      <c r="D179" s="12">
        <v>74</v>
      </c>
      <c r="E179" s="11">
        <f>D179/C179</f>
        <v>18.5</v>
      </c>
      <c r="F179" s="12"/>
      <c r="G179" s="12"/>
      <c r="H179" s="11" t="e">
        <f>G179/F179</f>
        <v>#DIV/0!</v>
      </c>
      <c r="I179" s="12"/>
      <c r="J179" s="12"/>
    </row>
    <row r="180" spans="1:10" s="7" customFormat="1" x14ac:dyDescent="0.25">
      <c r="A180" s="3" t="s">
        <v>83</v>
      </c>
      <c r="B180" s="12">
        <v>26</v>
      </c>
      <c r="C180" s="12">
        <v>15</v>
      </c>
      <c r="D180" s="12">
        <v>275</v>
      </c>
      <c r="E180" s="11">
        <f>D180/C180</f>
        <v>18.333333333333332</v>
      </c>
      <c r="F180" s="12">
        <v>37</v>
      </c>
      <c r="G180" s="12">
        <v>775</v>
      </c>
      <c r="H180" s="11">
        <f>G180/F180</f>
        <v>20.945945945945947</v>
      </c>
      <c r="I180" s="12">
        <v>20</v>
      </c>
      <c r="J180" s="12"/>
    </row>
    <row r="181" spans="1:10" s="7" customFormat="1" x14ac:dyDescent="0.25">
      <c r="A181" s="4" t="s">
        <v>126</v>
      </c>
      <c r="B181" s="10">
        <v>14</v>
      </c>
      <c r="C181" s="10">
        <v>13</v>
      </c>
      <c r="D181" s="10">
        <v>300</v>
      </c>
      <c r="E181" s="11">
        <f>D181/C181</f>
        <v>23.076923076923077</v>
      </c>
      <c r="F181" s="10"/>
      <c r="G181" s="10"/>
      <c r="H181" s="11" t="e">
        <f>G181/F181</f>
        <v>#DIV/0!</v>
      </c>
      <c r="I181" s="10">
        <v>10</v>
      </c>
      <c r="J181" s="10"/>
    </row>
    <row r="182" spans="1:10" x14ac:dyDescent="0.25">
      <c r="A182" s="4" t="s">
        <v>133</v>
      </c>
      <c r="B182" s="10">
        <f>39+1</f>
        <v>40</v>
      </c>
      <c r="C182" s="10">
        <v>36</v>
      </c>
      <c r="D182" s="10">
        <f>616+6</f>
        <v>622</v>
      </c>
      <c r="E182" s="11">
        <f>D182/C182</f>
        <v>17.277777777777779</v>
      </c>
      <c r="F182" s="10">
        <f>34+1</f>
        <v>35</v>
      </c>
      <c r="G182" s="10">
        <f>786+50</f>
        <v>836</v>
      </c>
      <c r="H182" s="11">
        <f>G182/F182</f>
        <v>23.885714285714286</v>
      </c>
      <c r="I182" s="10">
        <f>9</f>
        <v>9</v>
      </c>
      <c r="J182" s="10"/>
    </row>
    <row r="183" spans="1:10" x14ac:dyDescent="0.25">
      <c r="A183" s="4" t="s">
        <v>130</v>
      </c>
      <c r="B183" s="10">
        <f>18+9</f>
        <v>27</v>
      </c>
      <c r="C183" s="10">
        <f>19+11</f>
        <v>30</v>
      </c>
      <c r="D183" s="10">
        <f>297+269</f>
        <v>566</v>
      </c>
      <c r="E183" s="11">
        <f>D183/C183</f>
        <v>18.866666666666667</v>
      </c>
      <c r="F183" s="10">
        <v>0</v>
      </c>
      <c r="G183" s="10">
        <v>5</v>
      </c>
      <c r="H183" s="11" t="e">
        <f>G183/F183</f>
        <v>#DIV/0!</v>
      </c>
      <c r="I183" s="10">
        <f>30+13</f>
        <v>43</v>
      </c>
      <c r="J183" s="10">
        <f>8+1</f>
        <v>9</v>
      </c>
    </row>
    <row r="184" spans="1:10" x14ac:dyDescent="0.25">
      <c r="A184" s="3" t="s">
        <v>227</v>
      </c>
      <c r="B184" s="12">
        <v>2</v>
      </c>
      <c r="C184" s="12">
        <v>4</v>
      </c>
      <c r="D184" s="12">
        <v>23</v>
      </c>
      <c r="E184" s="11">
        <f>D184/C184</f>
        <v>5.75</v>
      </c>
      <c r="F184" s="12">
        <v>4</v>
      </c>
      <c r="G184" s="12">
        <v>6</v>
      </c>
      <c r="H184" s="11">
        <f>G184/F184</f>
        <v>1.5</v>
      </c>
      <c r="I184" s="12">
        <v>1</v>
      </c>
      <c r="J184" s="12"/>
    </row>
    <row r="185" spans="1:10" x14ac:dyDescent="0.25">
      <c r="A185" s="3" t="s">
        <v>160</v>
      </c>
      <c r="B185" s="12">
        <v>8</v>
      </c>
      <c r="C185" s="12">
        <v>8</v>
      </c>
      <c r="D185" s="12">
        <v>246</v>
      </c>
      <c r="E185" s="11">
        <f>D185/C185</f>
        <v>30.75</v>
      </c>
      <c r="F185" s="12">
        <v>6</v>
      </c>
      <c r="G185" s="12">
        <v>65</v>
      </c>
      <c r="H185" s="11">
        <f>G185/F185</f>
        <v>10.833333333333334</v>
      </c>
      <c r="I185" s="12">
        <v>3</v>
      </c>
      <c r="J185" s="12"/>
    </row>
    <row r="186" spans="1:10" x14ac:dyDescent="0.25">
      <c r="A186" s="3" t="s">
        <v>10</v>
      </c>
      <c r="B186" s="12">
        <v>192</v>
      </c>
      <c r="C186" s="12">
        <v>194</v>
      </c>
      <c r="D186" s="12">
        <v>3433</v>
      </c>
      <c r="E186" s="11">
        <f>D186/C186</f>
        <v>17.695876288659793</v>
      </c>
      <c r="F186" s="12">
        <v>183</v>
      </c>
      <c r="G186" s="12">
        <v>3700</v>
      </c>
      <c r="H186" s="11">
        <f>G186/F186</f>
        <v>20.218579234972676</v>
      </c>
      <c r="I186" s="12">
        <v>142</v>
      </c>
      <c r="J186" s="12"/>
    </row>
    <row r="187" spans="1:10" s="7" customFormat="1" x14ac:dyDescent="0.25">
      <c r="A187" s="3" t="s">
        <v>81</v>
      </c>
      <c r="B187" s="12">
        <v>27</v>
      </c>
      <c r="C187" s="12">
        <v>21</v>
      </c>
      <c r="D187" s="12">
        <v>218</v>
      </c>
      <c r="E187" s="11">
        <f>D187/C187</f>
        <v>10.380952380952381</v>
      </c>
      <c r="F187" s="12">
        <v>1</v>
      </c>
      <c r="G187" s="12">
        <v>36</v>
      </c>
      <c r="H187" s="11">
        <f>G187/F187</f>
        <v>36</v>
      </c>
      <c r="I187" s="12">
        <v>7</v>
      </c>
      <c r="J187" s="12"/>
    </row>
    <row r="188" spans="1:10" x14ac:dyDescent="0.25">
      <c r="A188" s="4" t="s">
        <v>162</v>
      </c>
      <c r="B188" s="10">
        <v>8</v>
      </c>
      <c r="C188" s="10">
        <v>7</v>
      </c>
      <c r="D188" s="10">
        <v>53</v>
      </c>
      <c r="E188" s="11">
        <f>D188/C188</f>
        <v>7.5714285714285712</v>
      </c>
      <c r="F188" s="10">
        <v>9</v>
      </c>
      <c r="G188" s="10">
        <v>230</v>
      </c>
      <c r="H188" s="11">
        <f>G188/F188</f>
        <v>25.555555555555557</v>
      </c>
      <c r="I188" s="10">
        <v>4</v>
      </c>
      <c r="J188" s="10"/>
    </row>
    <row r="189" spans="1:10" s="24" customFormat="1" x14ac:dyDescent="0.25">
      <c r="A189" s="4" t="s">
        <v>278</v>
      </c>
      <c r="B189" s="10">
        <f>12+14</f>
        <v>26</v>
      </c>
      <c r="C189" s="10">
        <f>12+13</f>
        <v>25</v>
      </c>
      <c r="D189" s="10">
        <f>193+415</f>
        <v>608</v>
      </c>
      <c r="E189" s="11">
        <f>D189/C189</f>
        <v>24.32</v>
      </c>
      <c r="F189" s="10">
        <f>7+6</f>
        <v>13</v>
      </c>
      <c r="G189" s="10">
        <f>218+282</f>
        <v>500</v>
      </c>
      <c r="H189" s="11">
        <f>G189/F189</f>
        <v>38.46153846153846</v>
      </c>
      <c r="I189" s="10">
        <v>10</v>
      </c>
      <c r="J189" s="10"/>
    </row>
    <row r="190" spans="1:10" x14ac:dyDescent="0.25">
      <c r="A190" s="3" t="s">
        <v>29</v>
      </c>
      <c r="B190" s="12">
        <v>85</v>
      </c>
      <c r="C190" s="12">
        <v>93</v>
      </c>
      <c r="D190" s="12">
        <v>1494</v>
      </c>
      <c r="E190" s="11">
        <f>D190/C190</f>
        <v>16.06451612903226</v>
      </c>
      <c r="F190" s="12">
        <v>5</v>
      </c>
      <c r="G190" s="12">
        <v>63</v>
      </c>
      <c r="H190" s="11">
        <f>G190/F190</f>
        <v>12.6</v>
      </c>
      <c r="I190" s="12">
        <v>47</v>
      </c>
      <c r="J190" s="12">
        <v>1</v>
      </c>
    </row>
    <row r="191" spans="1:10" x14ac:dyDescent="0.25">
      <c r="A191" s="21" t="s">
        <v>304</v>
      </c>
      <c r="B191" s="22">
        <f>3+5</f>
        <v>8</v>
      </c>
      <c r="C191" s="22">
        <f>3+5</f>
        <v>8</v>
      </c>
      <c r="D191" s="22">
        <f>15+12</f>
        <v>27</v>
      </c>
      <c r="E191" s="23">
        <f>D191/C191</f>
        <v>3.375</v>
      </c>
      <c r="F191" s="22">
        <f>1</f>
        <v>1</v>
      </c>
      <c r="G191" s="22">
        <f>0</f>
        <v>0</v>
      </c>
      <c r="H191" s="23">
        <f>G191/F191</f>
        <v>0</v>
      </c>
      <c r="I191" s="22">
        <f>3+2</f>
        <v>5</v>
      </c>
      <c r="J191" s="22"/>
    </row>
    <row r="192" spans="1:10" x14ac:dyDescent="0.25">
      <c r="A192" s="3" t="s">
        <v>252</v>
      </c>
      <c r="B192" s="12">
        <v>1</v>
      </c>
      <c r="C192" s="12">
        <v>1</v>
      </c>
      <c r="D192" s="12">
        <v>0</v>
      </c>
      <c r="E192" s="11">
        <f>D192/C192</f>
        <v>0</v>
      </c>
      <c r="F192" s="12"/>
      <c r="G192" s="12"/>
      <c r="H192" s="11" t="e">
        <f>G192/F192</f>
        <v>#DIV/0!</v>
      </c>
      <c r="I192" s="12"/>
      <c r="J192" s="12"/>
    </row>
    <row r="193" spans="1:10" x14ac:dyDescent="0.25">
      <c r="A193" s="3" t="s">
        <v>98</v>
      </c>
      <c r="B193" s="12">
        <v>20</v>
      </c>
      <c r="C193" s="12">
        <v>22</v>
      </c>
      <c r="D193" s="12">
        <v>290</v>
      </c>
      <c r="E193" s="11">
        <f>D193/C193</f>
        <v>13.181818181818182</v>
      </c>
      <c r="F193" s="12">
        <v>5</v>
      </c>
      <c r="G193" s="12">
        <v>46</v>
      </c>
      <c r="H193" s="11">
        <f>G193/F193</f>
        <v>9.1999999999999993</v>
      </c>
      <c r="I193" s="12">
        <v>12</v>
      </c>
      <c r="J193" s="12"/>
    </row>
    <row r="194" spans="1:10" x14ac:dyDescent="0.25">
      <c r="A194" s="3" t="s">
        <v>98</v>
      </c>
      <c r="B194" s="12">
        <v>2</v>
      </c>
      <c r="C194" s="12">
        <v>2</v>
      </c>
      <c r="D194" s="12">
        <v>6</v>
      </c>
      <c r="E194" s="11">
        <f>D194/C194</f>
        <v>3</v>
      </c>
      <c r="F194" s="12"/>
      <c r="G194" s="12"/>
      <c r="H194" s="11" t="e">
        <f>G194/F194</f>
        <v>#DIV/0!</v>
      </c>
      <c r="I194" s="12"/>
      <c r="J194" s="12"/>
    </row>
    <row r="195" spans="1:10" x14ac:dyDescent="0.25">
      <c r="A195" s="3" t="s">
        <v>264</v>
      </c>
      <c r="B195" s="12">
        <v>1</v>
      </c>
      <c r="C195" s="12"/>
      <c r="D195" s="12"/>
      <c r="E195" s="11" t="s">
        <v>273</v>
      </c>
      <c r="F195" s="12"/>
      <c r="G195" s="12"/>
      <c r="H195" s="11" t="e">
        <f>G195/F195</f>
        <v>#DIV/0!</v>
      </c>
      <c r="I195" s="12"/>
      <c r="J195" s="12"/>
    </row>
    <row r="196" spans="1:10" s="7" customFormat="1" x14ac:dyDescent="0.25">
      <c r="A196" s="3" t="s">
        <v>68</v>
      </c>
      <c r="B196" s="12">
        <v>35</v>
      </c>
      <c r="C196" s="12">
        <v>29</v>
      </c>
      <c r="D196" s="12">
        <v>587</v>
      </c>
      <c r="E196" s="11">
        <f>D196/C196</f>
        <v>20.241379310344829</v>
      </c>
      <c r="F196" s="12"/>
      <c r="G196" s="12"/>
      <c r="H196" s="11" t="e">
        <f>G196/F196</f>
        <v>#DIV/0!</v>
      </c>
      <c r="I196" s="12">
        <v>61</v>
      </c>
      <c r="J196" s="12">
        <v>15</v>
      </c>
    </row>
    <row r="197" spans="1:10" x14ac:dyDescent="0.25">
      <c r="A197" s="3" t="s">
        <v>150</v>
      </c>
      <c r="B197" s="12">
        <v>10</v>
      </c>
      <c r="C197" s="12">
        <v>10</v>
      </c>
      <c r="D197" s="12">
        <v>51</v>
      </c>
      <c r="E197" s="11">
        <f>D197/C197</f>
        <v>5.0999999999999996</v>
      </c>
      <c r="F197" s="12">
        <v>1</v>
      </c>
      <c r="G197" s="12">
        <v>17</v>
      </c>
      <c r="H197" s="11">
        <f>G197/F197</f>
        <v>17</v>
      </c>
      <c r="I197" s="12"/>
      <c r="J197" s="12"/>
    </row>
    <row r="198" spans="1:10" x14ac:dyDescent="0.25">
      <c r="A198" s="4" t="s">
        <v>292</v>
      </c>
      <c r="B198" s="10">
        <f>1</f>
        <v>1</v>
      </c>
      <c r="C198" s="10">
        <f>1</f>
        <v>1</v>
      </c>
      <c r="D198" s="10">
        <f>0</f>
        <v>0</v>
      </c>
      <c r="E198" s="11">
        <f>D198/C198</f>
        <v>0</v>
      </c>
      <c r="F198" s="10"/>
      <c r="G198" s="10">
        <f>5</f>
        <v>5</v>
      </c>
      <c r="H198" s="11" t="e">
        <f>G198/F198</f>
        <v>#DIV/0!</v>
      </c>
      <c r="I198" s="10"/>
      <c r="J198" s="10"/>
    </row>
    <row r="199" spans="1:10" x14ac:dyDescent="0.25">
      <c r="A199" s="3" t="s">
        <v>93</v>
      </c>
      <c r="B199" s="12">
        <v>23</v>
      </c>
      <c r="C199" s="12">
        <v>28</v>
      </c>
      <c r="D199" s="12">
        <v>379</v>
      </c>
      <c r="E199" s="11">
        <f>D199/C199</f>
        <v>13.535714285714286</v>
      </c>
      <c r="F199" s="12"/>
      <c r="G199" s="12"/>
      <c r="H199" s="11" t="e">
        <f>G199/F199</f>
        <v>#DIV/0!</v>
      </c>
      <c r="I199" s="12">
        <v>9</v>
      </c>
      <c r="J199" s="12">
        <v>2</v>
      </c>
    </row>
    <row r="200" spans="1:10" x14ac:dyDescent="0.25">
      <c r="A200" s="3" t="s">
        <v>78</v>
      </c>
      <c r="B200" s="12">
        <v>27</v>
      </c>
      <c r="C200" s="12">
        <v>26</v>
      </c>
      <c r="D200" s="12">
        <v>735</v>
      </c>
      <c r="E200" s="11">
        <f>D200/C200</f>
        <v>28.26923076923077</v>
      </c>
      <c r="F200" s="12">
        <v>5</v>
      </c>
      <c r="G200" s="12">
        <v>138</v>
      </c>
      <c r="H200" s="11">
        <f>G200/F200</f>
        <v>27.6</v>
      </c>
      <c r="I200" s="12">
        <v>11</v>
      </c>
      <c r="J200" s="12"/>
    </row>
    <row r="201" spans="1:10" x14ac:dyDescent="0.25">
      <c r="A201" s="3" t="s">
        <v>84</v>
      </c>
      <c r="B201" s="12">
        <v>26</v>
      </c>
      <c r="C201" s="12">
        <v>6</v>
      </c>
      <c r="D201" s="12">
        <v>14</v>
      </c>
      <c r="E201" s="11">
        <f>D201/C201</f>
        <v>2.3333333333333335</v>
      </c>
      <c r="F201" s="12">
        <v>60</v>
      </c>
      <c r="G201" s="12">
        <v>1066</v>
      </c>
      <c r="H201" s="11">
        <f>G201/F201</f>
        <v>17.766666666666666</v>
      </c>
      <c r="I201" s="12">
        <v>6</v>
      </c>
      <c r="J201" s="12"/>
    </row>
    <row r="202" spans="1:10" x14ac:dyDescent="0.25">
      <c r="A202" s="4" t="s">
        <v>127</v>
      </c>
      <c r="B202" s="10">
        <v>14</v>
      </c>
      <c r="C202" s="10">
        <v>8</v>
      </c>
      <c r="D202" s="10">
        <v>112</v>
      </c>
      <c r="E202" s="11">
        <f>D202/C202</f>
        <v>14</v>
      </c>
      <c r="F202" s="10">
        <v>12</v>
      </c>
      <c r="G202" s="10">
        <v>409</v>
      </c>
      <c r="H202" s="11">
        <f>G202/F202</f>
        <v>34.083333333333336</v>
      </c>
      <c r="I202" s="10">
        <v>8</v>
      </c>
      <c r="J202" s="10"/>
    </row>
    <row r="203" spans="1:10" x14ac:dyDescent="0.25">
      <c r="A203" s="4" t="s">
        <v>124</v>
      </c>
      <c r="B203" s="10">
        <v>15</v>
      </c>
      <c r="C203" s="10">
        <v>4</v>
      </c>
      <c r="D203" s="10">
        <v>14</v>
      </c>
      <c r="E203" s="11">
        <f>D203/C203</f>
        <v>3.5</v>
      </c>
      <c r="F203" s="10">
        <v>32</v>
      </c>
      <c r="G203" s="10">
        <v>808</v>
      </c>
      <c r="H203" s="11">
        <f>G203/F203</f>
        <v>25.25</v>
      </c>
      <c r="I203" s="10">
        <v>9</v>
      </c>
      <c r="J203" s="10"/>
    </row>
    <row r="204" spans="1:10" s="7" customFormat="1" x14ac:dyDescent="0.25">
      <c r="A204" s="4" t="s">
        <v>73</v>
      </c>
      <c r="B204" s="10">
        <v>30</v>
      </c>
      <c r="C204" s="10">
        <v>34</v>
      </c>
      <c r="D204" s="10">
        <v>665</v>
      </c>
      <c r="E204" s="11">
        <f>D204/C204</f>
        <v>19.558823529411764</v>
      </c>
      <c r="F204" s="10">
        <v>0</v>
      </c>
      <c r="G204" s="10">
        <v>36</v>
      </c>
      <c r="H204" s="11" t="e">
        <f>G204/F204</f>
        <v>#DIV/0!</v>
      </c>
      <c r="I204" s="10">
        <v>13</v>
      </c>
      <c r="J204" s="15"/>
    </row>
    <row r="205" spans="1:10" x14ac:dyDescent="0.25">
      <c r="A205" s="4" t="s">
        <v>178</v>
      </c>
      <c r="B205" s="10">
        <v>6</v>
      </c>
      <c r="C205" s="10">
        <v>8</v>
      </c>
      <c r="D205" s="10">
        <v>75</v>
      </c>
      <c r="E205" s="11">
        <f>D205/C205</f>
        <v>9.375</v>
      </c>
      <c r="F205" s="10">
        <v>0</v>
      </c>
      <c r="G205" s="10">
        <v>0</v>
      </c>
      <c r="H205" s="11" t="e">
        <f>G205/F205</f>
        <v>#DIV/0!</v>
      </c>
      <c r="I205" s="10">
        <v>0</v>
      </c>
      <c r="J205" s="10"/>
    </row>
    <row r="206" spans="1:10" x14ac:dyDescent="0.25">
      <c r="A206" s="4" t="s">
        <v>267</v>
      </c>
      <c r="B206" s="10">
        <f>11+2</f>
        <v>13</v>
      </c>
      <c r="C206" s="10">
        <f>11+2</f>
        <v>13</v>
      </c>
      <c r="D206" s="10">
        <f>165+6</f>
        <v>171</v>
      </c>
      <c r="E206" s="11">
        <f>D206/C206</f>
        <v>13.153846153846153</v>
      </c>
      <c r="F206" s="10">
        <f>12+2</f>
        <v>14</v>
      </c>
      <c r="G206" s="10">
        <f>260+61</f>
        <v>321</v>
      </c>
      <c r="H206" s="11">
        <f>G206/F206</f>
        <v>22.928571428571427</v>
      </c>
      <c r="I206" s="10">
        <v>3</v>
      </c>
      <c r="J206" s="10"/>
    </row>
    <row r="207" spans="1:10" s="7" customFormat="1" x14ac:dyDescent="0.25">
      <c r="A207" s="3" t="s">
        <v>143</v>
      </c>
      <c r="B207" s="12">
        <v>11</v>
      </c>
      <c r="C207" s="12">
        <v>14</v>
      </c>
      <c r="D207" s="12">
        <v>88</v>
      </c>
      <c r="E207" s="11">
        <f>D207/C207</f>
        <v>6.2857142857142856</v>
      </c>
      <c r="F207" s="12"/>
      <c r="G207" s="12"/>
      <c r="H207" s="11" t="e">
        <f>G207/F207</f>
        <v>#DIV/0!</v>
      </c>
      <c r="I207" s="12">
        <v>4</v>
      </c>
      <c r="J207" s="12"/>
    </row>
    <row r="208" spans="1:10" x14ac:dyDescent="0.25">
      <c r="A208" s="3" t="s">
        <v>179</v>
      </c>
      <c r="B208" s="12">
        <v>6</v>
      </c>
      <c r="C208" s="12">
        <v>8</v>
      </c>
      <c r="D208" s="12">
        <v>51</v>
      </c>
      <c r="E208" s="11">
        <f>D208/C208</f>
        <v>6.375</v>
      </c>
      <c r="F208" s="12"/>
      <c r="G208" s="12"/>
      <c r="H208" s="11" t="e">
        <f>G208/F208</f>
        <v>#DIV/0!</v>
      </c>
      <c r="I208" s="12"/>
      <c r="J208" s="12"/>
    </row>
    <row r="209" spans="1:10" s="8" customFormat="1" x14ac:dyDescent="0.25">
      <c r="A209" s="4" t="s">
        <v>44</v>
      </c>
      <c r="B209" s="10">
        <f>92+14+11+8+2</f>
        <v>127</v>
      </c>
      <c r="C209" s="10">
        <f>83+13+9+7+1</f>
        <v>113</v>
      </c>
      <c r="D209" s="10">
        <f>1793+4+335+79+145+18</f>
        <v>2374</v>
      </c>
      <c r="E209" s="11">
        <f>D209/C209</f>
        <v>21.008849557522122</v>
      </c>
      <c r="F209" s="10">
        <f>149+36+33+12+5</f>
        <v>235</v>
      </c>
      <c r="G209" s="10">
        <f>2599+35+461+401+254+95</f>
        <v>3845</v>
      </c>
      <c r="H209" s="11">
        <f>G209/F209</f>
        <v>16.361702127659573</v>
      </c>
      <c r="I209" s="10">
        <f>42+5+1</f>
        <v>48</v>
      </c>
      <c r="J209" s="10"/>
    </row>
    <row r="210" spans="1:10" s="7" customFormat="1" x14ac:dyDescent="0.25">
      <c r="A210" s="3" t="s">
        <v>221</v>
      </c>
      <c r="B210" s="12">
        <v>2</v>
      </c>
      <c r="C210" s="12">
        <v>1</v>
      </c>
      <c r="D210" s="12">
        <v>18</v>
      </c>
      <c r="E210" s="11">
        <f>D210/C210</f>
        <v>18</v>
      </c>
      <c r="F210" s="12"/>
      <c r="G210" s="12"/>
      <c r="H210" s="11" t="e">
        <f>G210/F210</f>
        <v>#DIV/0!</v>
      </c>
      <c r="I210" s="12"/>
      <c r="J210" s="12"/>
    </row>
    <row r="211" spans="1:10" s="7" customFormat="1" x14ac:dyDescent="0.25">
      <c r="A211" s="6" t="s">
        <v>283</v>
      </c>
      <c r="B211" s="13">
        <f>2+1+2+18+12+12+16+14+14+14</f>
        <v>105</v>
      </c>
      <c r="C211" s="13">
        <f>1+1+2+13+13+13+17+12+16+18</f>
        <v>106</v>
      </c>
      <c r="D211" s="13">
        <f>5+6+310+176+219+297+184+251+169</f>
        <v>1617</v>
      </c>
      <c r="E211" s="14">
        <f>D211/C211</f>
        <v>15.254716981132075</v>
      </c>
      <c r="F211" s="13">
        <f>1+2+17+1+6+2+14+6+28</f>
        <v>77</v>
      </c>
      <c r="G211" s="13">
        <f>23+6+392+103+40+444+141+529</f>
        <v>1678</v>
      </c>
      <c r="H211" s="14">
        <f>G211/F211</f>
        <v>21.792207792207794</v>
      </c>
      <c r="I211" s="13">
        <f>11+5+5+10+11+3+11</f>
        <v>56</v>
      </c>
      <c r="J211" s="13"/>
    </row>
    <row r="212" spans="1:10" x14ac:dyDescent="0.25">
      <c r="A212" s="4" t="s">
        <v>288</v>
      </c>
      <c r="B212" s="10">
        <f>13+12</f>
        <v>25</v>
      </c>
      <c r="C212" s="10">
        <f>13+12</f>
        <v>25</v>
      </c>
      <c r="D212" s="10">
        <f>226+122</f>
        <v>348</v>
      </c>
      <c r="E212" s="11">
        <f>D212/C212</f>
        <v>13.92</v>
      </c>
      <c r="F212" s="10">
        <f>1</f>
        <v>1</v>
      </c>
      <c r="G212" s="10">
        <f>55+50</f>
        <v>105</v>
      </c>
      <c r="H212" s="11">
        <f>G212/F212</f>
        <v>105</v>
      </c>
      <c r="I212" s="10">
        <f>1+5+2</f>
        <v>8</v>
      </c>
      <c r="J212" s="10">
        <f>2</f>
        <v>2</v>
      </c>
    </row>
    <row r="213" spans="1:10" s="7" customFormat="1" x14ac:dyDescent="0.25">
      <c r="A213" s="4" t="s">
        <v>173</v>
      </c>
      <c r="B213" s="10">
        <f>23+13+2+7+10+9+5+4+4</f>
        <v>77</v>
      </c>
      <c r="C213" s="10">
        <f>21+14+2+7+10+10+4+4+4</f>
        <v>76</v>
      </c>
      <c r="D213" s="10">
        <f>292+184+19+119+99+66+20+22+79</f>
        <v>900</v>
      </c>
      <c r="E213" s="11">
        <f>D213/C213</f>
        <v>11.842105263157896</v>
      </c>
      <c r="F213" s="10">
        <f>3+6+1</f>
        <v>10</v>
      </c>
      <c r="G213" s="10">
        <f>112+303+14+26+35</f>
        <v>490</v>
      </c>
      <c r="H213" s="11">
        <f>G213/F213</f>
        <v>49</v>
      </c>
      <c r="I213" s="10">
        <f>4+2+4+4+1+2+1+2+1</f>
        <v>21</v>
      </c>
      <c r="J213" s="10"/>
    </row>
    <row r="214" spans="1:10" x14ac:dyDescent="0.25">
      <c r="A214" s="3" t="s">
        <v>57</v>
      </c>
      <c r="B214" s="12">
        <v>49</v>
      </c>
      <c r="C214" s="12">
        <v>43</v>
      </c>
      <c r="D214" s="12">
        <v>404</v>
      </c>
      <c r="E214" s="11">
        <f>D214/C214</f>
        <v>9.395348837209303</v>
      </c>
      <c r="F214" s="12"/>
      <c r="G214" s="12"/>
      <c r="H214" s="11" t="e">
        <f>G214/F214</f>
        <v>#DIV/0!</v>
      </c>
      <c r="I214" s="12">
        <v>69</v>
      </c>
      <c r="J214" s="12">
        <v>16</v>
      </c>
    </row>
    <row r="215" spans="1:10" x14ac:dyDescent="0.25">
      <c r="A215" s="4" t="s">
        <v>51</v>
      </c>
      <c r="B215" s="10">
        <f>65+12+16+16</f>
        <v>109</v>
      </c>
      <c r="C215" s="10">
        <f>63+14+16+16</f>
        <v>109</v>
      </c>
      <c r="D215" s="10">
        <f>2005+467+385+454</f>
        <v>3311</v>
      </c>
      <c r="E215" s="11">
        <f>D215/C215</f>
        <v>30.376146788990827</v>
      </c>
      <c r="F215" s="10">
        <f>17+4</f>
        <v>21</v>
      </c>
      <c r="G215" s="10">
        <f>310+176</f>
        <v>486</v>
      </c>
      <c r="H215" s="11">
        <f>G215/F215</f>
        <v>23.142857142857142</v>
      </c>
      <c r="I215" s="10">
        <f>86+11+21+23</f>
        <v>141</v>
      </c>
      <c r="J215" s="10">
        <f>14+1+11</f>
        <v>26</v>
      </c>
    </row>
    <row r="216" spans="1:10" x14ac:dyDescent="0.25">
      <c r="A216" s="4" t="s">
        <v>5</v>
      </c>
      <c r="B216" s="10">
        <v>324</v>
      </c>
      <c r="C216" s="10">
        <v>223</v>
      </c>
      <c r="D216" s="10">
        <v>4523</v>
      </c>
      <c r="E216" s="11">
        <f>D216/C216</f>
        <v>20.282511210762333</v>
      </c>
      <c r="F216" s="10">
        <v>661</v>
      </c>
      <c r="G216" s="10">
        <v>10717</v>
      </c>
      <c r="H216" s="11">
        <f>G216/F216</f>
        <v>16.213313161875945</v>
      </c>
      <c r="I216" s="10">
        <v>136</v>
      </c>
      <c r="J216" s="10"/>
    </row>
    <row r="217" spans="1:10" x14ac:dyDescent="0.25">
      <c r="A217" s="3" t="s">
        <v>61</v>
      </c>
      <c r="B217" s="12">
        <v>45</v>
      </c>
      <c r="C217" s="12">
        <v>23</v>
      </c>
      <c r="D217" s="12">
        <v>202</v>
      </c>
      <c r="E217" s="11">
        <f>D217/C217</f>
        <v>8.7826086956521738</v>
      </c>
      <c r="F217" s="12">
        <v>90</v>
      </c>
      <c r="G217" s="12">
        <v>1856</v>
      </c>
      <c r="H217" s="11">
        <f>G217/F217</f>
        <v>20.622222222222224</v>
      </c>
      <c r="I217" s="12">
        <v>10</v>
      </c>
      <c r="J217" s="12"/>
    </row>
    <row r="218" spans="1:10" s="7" customFormat="1" x14ac:dyDescent="0.25">
      <c r="A218" s="3" t="s">
        <v>217</v>
      </c>
      <c r="B218" s="12">
        <v>3</v>
      </c>
      <c r="C218" s="12">
        <v>4</v>
      </c>
      <c r="D218" s="12">
        <v>7</v>
      </c>
      <c r="E218" s="11">
        <f>D218/C218</f>
        <v>1.75</v>
      </c>
      <c r="F218" s="12"/>
      <c r="G218" s="12"/>
      <c r="H218" s="11" t="e">
        <f>G218/F218</f>
        <v>#DIV/0!</v>
      </c>
      <c r="I218" s="12">
        <v>2</v>
      </c>
      <c r="J218" s="12"/>
    </row>
    <row r="219" spans="1:10" x14ac:dyDescent="0.25">
      <c r="A219" s="3" t="s">
        <v>125</v>
      </c>
      <c r="B219" s="12">
        <v>14</v>
      </c>
      <c r="C219" s="12">
        <v>13</v>
      </c>
      <c r="D219" s="12">
        <v>306</v>
      </c>
      <c r="E219" s="11">
        <f>D219/C219</f>
        <v>23.53846153846154</v>
      </c>
      <c r="F219" s="12">
        <v>5</v>
      </c>
      <c r="G219" s="12">
        <v>192</v>
      </c>
      <c r="H219" s="11">
        <f>G219/F219</f>
        <v>38.4</v>
      </c>
      <c r="I219" s="12">
        <v>12</v>
      </c>
      <c r="J219" s="12">
        <v>4</v>
      </c>
    </row>
    <row r="220" spans="1:10" x14ac:dyDescent="0.25">
      <c r="A220" s="4" t="s">
        <v>270</v>
      </c>
      <c r="B220" s="10">
        <v>9</v>
      </c>
      <c r="C220" s="10">
        <v>0</v>
      </c>
      <c r="D220" s="10">
        <v>0</v>
      </c>
      <c r="E220" s="11" t="e">
        <f>D220/C220</f>
        <v>#DIV/0!</v>
      </c>
      <c r="F220" s="10">
        <v>6</v>
      </c>
      <c r="G220" s="10">
        <v>224</v>
      </c>
      <c r="H220" s="11">
        <f>G220/F220</f>
        <v>37.333333333333336</v>
      </c>
      <c r="I220" s="10">
        <v>2</v>
      </c>
      <c r="J220" s="10"/>
    </row>
    <row r="221" spans="1:10" x14ac:dyDescent="0.25">
      <c r="A221" s="3" t="s">
        <v>149</v>
      </c>
      <c r="B221" s="12">
        <v>10</v>
      </c>
      <c r="C221" s="12">
        <v>12</v>
      </c>
      <c r="D221" s="12">
        <v>85</v>
      </c>
      <c r="E221" s="11">
        <f>D221/C221</f>
        <v>7.083333333333333</v>
      </c>
      <c r="F221" s="12"/>
      <c r="G221" s="12"/>
      <c r="H221" s="11" t="e">
        <f>G221/F221</f>
        <v>#DIV/0!</v>
      </c>
      <c r="I221" s="12">
        <v>4</v>
      </c>
      <c r="J221" s="12"/>
    </row>
    <row r="222" spans="1:10" x14ac:dyDescent="0.25">
      <c r="A222" s="3" t="s">
        <v>238</v>
      </c>
      <c r="B222" s="12">
        <v>2</v>
      </c>
      <c r="C222" s="12"/>
      <c r="D222" s="12"/>
      <c r="E222" s="11" t="s">
        <v>273</v>
      </c>
      <c r="F222" s="12"/>
      <c r="G222" s="12"/>
      <c r="H222" s="11" t="e">
        <f>G222/F222</f>
        <v>#DIV/0!</v>
      </c>
      <c r="I222" s="12"/>
      <c r="J222" s="12"/>
    </row>
    <row r="223" spans="1:10" s="8" customFormat="1" x14ac:dyDescent="0.25">
      <c r="A223" s="3" t="s">
        <v>105</v>
      </c>
      <c r="B223" s="12">
        <v>19</v>
      </c>
      <c r="C223" s="12">
        <v>18</v>
      </c>
      <c r="D223" s="12">
        <v>275</v>
      </c>
      <c r="E223" s="11">
        <f>D223/C223</f>
        <v>15.277777777777779</v>
      </c>
      <c r="F223" s="12">
        <v>56</v>
      </c>
      <c r="G223" s="12">
        <v>824</v>
      </c>
      <c r="H223" s="11">
        <f>G223/F223</f>
        <v>14.714285714285714</v>
      </c>
      <c r="I223" s="12">
        <v>6</v>
      </c>
      <c r="J223" s="12"/>
    </row>
    <row r="224" spans="1:10" x14ac:dyDescent="0.25">
      <c r="A224" s="3" t="s">
        <v>27</v>
      </c>
      <c r="B224" s="12">
        <v>92</v>
      </c>
      <c r="C224" s="12">
        <v>102</v>
      </c>
      <c r="D224" s="12">
        <v>2362</v>
      </c>
      <c r="E224" s="11">
        <f>D224/C224</f>
        <v>23.156862745098039</v>
      </c>
      <c r="F224" s="12">
        <v>44</v>
      </c>
      <c r="G224" s="12">
        <v>455</v>
      </c>
      <c r="H224" s="11">
        <f>G224/F224</f>
        <v>10.340909090909092</v>
      </c>
      <c r="I224" s="12">
        <v>34</v>
      </c>
      <c r="J224" s="12"/>
    </row>
    <row r="225" spans="1:10" s="7" customFormat="1" x14ac:dyDescent="0.25">
      <c r="A225" s="6" t="s">
        <v>289</v>
      </c>
      <c r="B225" s="13">
        <f>18+13+9+3+3+3+3</f>
        <v>52</v>
      </c>
      <c r="C225" s="13">
        <f>13+8+12+4+3+4+3</f>
        <v>47</v>
      </c>
      <c r="D225" s="13">
        <f>118+212+199+43+126+73+131</f>
        <v>902</v>
      </c>
      <c r="E225" s="14">
        <f>D225/C225</f>
        <v>19.191489361702128</v>
      </c>
      <c r="F225" s="13">
        <f>35+24+29+14+7+10+5</f>
        <v>124</v>
      </c>
      <c r="G225" s="13">
        <f>551+484+417+92+172+153+81</f>
        <v>1950</v>
      </c>
      <c r="H225" s="14">
        <f>G225/F225</f>
        <v>15.725806451612904</v>
      </c>
      <c r="I225" s="13">
        <f>6+7+6+3+5+2+3</f>
        <v>32</v>
      </c>
      <c r="J225" s="13"/>
    </row>
    <row r="226" spans="1:10" x14ac:dyDescent="0.25">
      <c r="A226" s="3" t="s">
        <v>192</v>
      </c>
      <c r="B226" s="12">
        <v>5</v>
      </c>
      <c r="C226" s="12"/>
      <c r="D226" s="12"/>
      <c r="E226" s="11" t="s">
        <v>273</v>
      </c>
      <c r="F226" s="12">
        <v>6</v>
      </c>
      <c r="G226" s="12">
        <v>161</v>
      </c>
      <c r="H226" s="11">
        <f>G226/F226</f>
        <v>26.833333333333332</v>
      </c>
      <c r="I226" s="12">
        <v>2</v>
      </c>
      <c r="J226" s="12"/>
    </row>
    <row r="227" spans="1:10" x14ac:dyDescent="0.25">
      <c r="A227" s="4" t="s">
        <v>70</v>
      </c>
      <c r="B227" s="10">
        <v>42</v>
      </c>
      <c r="C227" s="10">
        <v>26</v>
      </c>
      <c r="D227" s="10">
        <v>304</v>
      </c>
      <c r="E227" s="11">
        <f>D227/C227</f>
        <v>11.692307692307692</v>
      </c>
      <c r="F227" s="10">
        <v>81</v>
      </c>
      <c r="G227" s="10">
        <v>1385</v>
      </c>
      <c r="H227" s="11">
        <f>G227/F227</f>
        <v>17.098765432098766</v>
      </c>
      <c r="I227" s="10">
        <v>9</v>
      </c>
      <c r="J227" s="10"/>
    </row>
    <row r="228" spans="1:10" s="7" customFormat="1" x14ac:dyDescent="0.25">
      <c r="A228" s="3" t="s">
        <v>66</v>
      </c>
      <c r="B228" s="12">
        <v>36</v>
      </c>
      <c r="C228" s="12">
        <v>42</v>
      </c>
      <c r="D228" s="12">
        <v>516</v>
      </c>
      <c r="E228" s="11">
        <f>D228/C228</f>
        <v>12.285714285714286</v>
      </c>
      <c r="F228" s="12">
        <v>2</v>
      </c>
      <c r="G228" s="12">
        <v>51</v>
      </c>
      <c r="H228" s="11">
        <f>G228/F228</f>
        <v>25.5</v>
      </c>
      <c r="I228" s="12">
        <v>14</v>
      </c>
      <c r="J228" s="12"/>
    </row>
    <row r="229" spans="1:10" x14ac:dyDescent="0.25">
      <c r="A229" s="3" t="s">
        <v>169</v>
      </c>
      <c r="B229" s="12">
        <v>7</v>
      </c>
      <c r="C229" s="12">
        <v>10</v>
      </c>
      <c r="D229" s="12">
        <v>109</v>
      </c>
      <c r="E229" s="11">
        <f>D229/C229</f>
        <v>10.9</v>
      </c>
      <c r="F229" s="12"/>
      <c r="G229" s="12"/>
      <c r="H229" s="11" t="e">
        <f>G229/F229</f>
        <v>#DIV/0!</v>
      </c>
      <c r="I229" s="12">
        <v>1</v>
      </c>
      <c r="J229" s="12"/>
    </row>
    <row r="230" spans="1:10" x14ac:dyDescent="0.25">
      <c r="A230" s="4" t="s">
        <v>287</v>
      </c>
      <c r="B230" s="10">
        <f>18+18+12+6</f>
        <v>54</v>
      </c>
      <c r="C230" s="10">
        <f>16+17+11+6</f>
        <v>50</v>
      </c>
      <c r="D230" s="10">
        <f>688+818+454+187</f>
        <v>2147</v>
      </c>
      <c r="E230" s="11">
        <f>D230/C230</f>
        <v>42.94</v>
      </c>
      <c r="F230" s="10">
        <f>13+25+20+3</f>
        <v>61</v>
      </c>
      <c r="G230" s="10">
        <f>290+389+274+103</f>
        <v>1056</v>
      </c>
      <c r="H230" s="11">
        <f>G230/F230</f>
        <v>17.311475409836067</v>
      </c>
      <c r="I230" s="10">
        <f>11+4+5+4</f>
        <v>24</v>
      </c>
      <c r="J230" s="10"/>
    </row>
    <row r="231" spans="1:10" x14ac:dyDescent="0.25">
      <c r="A231" s="4" t="s">
        <v>58</v>
      </c>
      <c r="B231" s="10">
        <v>48</v>
      </c>
      <c r="C231" s="10">
        <v>28</v>
      </c>
      <c r="D231" s="10">
        <v>446</v>
      </c>
      <c r="E231" s="11">
        <f>D231/C231</f>
        <v>15.928571428571429</v>
      </c>
      <c r="F231" s="10">
        <v>102</v>
      </c>
      <c r="G231" s="10">
        <v>1805</v>
      </c>
      <c r="H231" s="11">
        <f>G231/F231</f>
        <v>17.696078431372548</v>
      </c>
      <c r="I231" s="10">
        <v>15</v>
      </c>
      <c r="J231" s="10"/>
    </row>
    <row r="232" spans="1:10" s="24" customFormat="1" x14ac:dyDescent="0.25">
      <c r="A232" s="4" t="s">
        <v>6</v>
      </c>
      <c r="B232" s="10">
        <v>274</v>
      </c>
      <c r="C232" s="10">
        <v>289</v>
      </c>
      <c r="D232" s="10">
        <v>8965</v>
      </c>
      <c r="E232" s="11">
        <f>D232/C232</f>
        <v>31.020761245674741</v>
      </c>
      <c r="F232" s="10">
        <v>220</v>
      </c>
      <c r="G232" s="10">
        <v>4922</v>
      </c>
      <c r="H232" s="11">
        <f>G232/F232</f>
        <v>22.372727272727271</v>
      </c>
      <c r="I232" s="10">
        <v>159</v>
      </c>
      <c r="J232" s="10"/>
    </row>
    <row r="233" spans="1:10" s="7" customFormat="1" x14ac:dyDescent="0.25">
      <c r="A233" s="3" t="s">
        <v>161</v>
      </c>
      <c r="B233" s="12">
        <v>8</v>
      </c>
      <c r="C233" s="12">
        <v>9</v>
      </c>
      <c r="D233" s="12">
        <v>138</v>
      </c>
      <c r="E233" s="11">
        <f>D233/C233</f>
        <v>15.333333333333334</v>
      </c>
      <c r="F233" s="12">
        <v>1</v>
      </c>
      <c r="G233" s="12">
        <v>4</v>
      </c>
      <c r="H233" s="11">
        <f>G233/F233</f>
        <v>4</v>
      </c>
      <c r="I233" s="12">
        <v>2</v>
      </c>
      <c r="J233" s="12"/>
    </row>
    <row r="234" spans="1:10" x14ac:dyDescent="0.25">
      <c r="A234" s="21" t="s">
        <v>301</v>
      </c>
      <c r="B234" s="22">
        <f>7+13+12</f>
        <v>32</v>
      </c>
      <c r="C234" s="22">
        <f>6+16+14</f>
        <v>36</v>
      </c>
      <c r="D234" s="22">
        <f>72+278+145</f>
        <v>495</v>
      </c>
      <c r="E234" s="23">
        <f>D234/C234</f>
        <v>13.75</v>
      </c>
      <c r="F234" s="22">
        <f>3+1</f>
        <v>4</v>
      </c>
      <c r="G234" s="22">
        <f>79+94</f>
        <v>173</v>
      </c>
      <c r="H234" s="23"/>
      <c r="I234" s="22">
        <f>4+4+4</f>
        <v>12</v>
      </c>
      <c r="J234" s="22"/>
    </row>
    <row r="235" spans="1:10" x14ac:dyDescent="0.25">
      <c r="A235" s="4" t="s">
        <v>8</v>
      </c>
      <c r="B235" s="10">
        <v>228</v>
      </c>
      <c r="C235" s="10">
        <v>235</v>
      </c>
      <c r="D235" s="10">
        <v>6159</v>
      </c>
      <c r="E235" s="11">
        <f>D235/C235</f>
        <v>26.208510638297874</v>
      </c>
      <c r="F235" s="10">
        <v>41</v>
      </c>
      <c r="G235" s="10">
        <v>989</v>
      </c>
      <c r="H235" s="11">
        <f>G235/F235</f>
        <v>24.121951219512194</v>
      </c>
      <c r="I235" s="10">
        <v>231</v>
      </c>
      <c r="J235" s="10">
        <v>34</v>
      </c>
    </row>
    <row r="236" spans="1:10" x14ac:dyDescent="0.25">
      <c r="A236" s="3" t="s">
        <v>232</v>
      </c>
      <c r="B236" s="12">
        <v>2</v>
      </c>
      <c r="C236" s="12">
        <v>1</v>
      </c>
      <c r="D236" s="12">
        <v>3</v>
      </c>
      <c r="E236" s="11">
        <f>D236/C236</f>
        <v>3</v>
      </c>
      <c r="F236" s="12"/>
      <c r="G236" s="12"/>
      <c r="H236" s="11" t="e">
        <f>G236/F236</f>
        <v>#DIV/0!</v>
      </c>
      <c r="I236" s="12"/>
      <c r="J236" s="12"/>
    </row>
    <row r="237" spans="1:10" s="7" customFormat="1" x14ac:dyDescent="0.25">
      <c r="A237" s="3" t="s">
        <v>135</v>
      </c>
      <c r="B237" s="12">
        <v>13</v>
      </c>
      <c r="C237" s="12">
        <v>15</v>
      </c>
      <c r="D237" s="12">
        <v>134</v>
      </c>
      <c r="E237" s="11">
        <f>D237/C237</f>
        <v>8.9333333333333336</v>
      </c>
      <c r="F237" s="12">
        <v>1</v>
      </c>
      <c r="G237" s="12">
        <v>44</v>
      </c>
      <c r="H237" s="11">
        <f>G237/F237</f>
        <v>44</v>
      </c>
      <c r="I237" s="12">
        <v>5</v>
      </c>
      <c r="J237" s="12"/>
    </row>
    <row r="238" spans="1:10" x14ac:dyDescent="0.25">
      <c r="A238" s="3" t="s">
        <v>107</v>
      </c>
      <c r="B238" s="12">
        <v>19</v>
      </c>
      <c r="C238" s="12">
        <v>27</v>
      </c>
      <c r="D238" s="12">
        <v>272</v>
      </c>
      <c r="E238" s="11">
        <f>D238/C238</f>
        <v>10.074074074074074</v>
      </c>
      <c r="F238" s="12"/>
      <c r="G238" s="12"/>
      <c r="H238" s="11" t="e">
        <f>G238/F238</f>
        <v>#DIV/0!</v>
      </c>
      <c r="I238" s="12">
        <v>5</v>
      </c>
      <c r="J238" s="12"/>
    </row>
    <row r="239" spans="1:10" x14ac:dyDescent="0.25">
      <c r="A239" s="4" t="s">
        <v>280</v>
      </c>
      <c r="B239" s="10">
        <v>1</v>
      </c>
      <c r="C239" s="10">
        <v>1</v>
      </c>
      <c r="D239" s="10">
        <v>7</v>
      </c>
      <c r="E239" s="11">
        <f>D239/C239</f>
        <v>7</v>
      </c>
      <c r="F239" s="10"/>
      <c r="G239" s="10"/>
      <c r="H239" s="11"/>
      <c r="I239" s="10"/>
      <c r="J239" s="10"/>
    </row>
    <row r="240" spans="1:10" x14ac:dyDescent="0.25">
      <c r="A240" s="3" t="s">
        <v>218</v>
      </c>
      <c r="B240" s="12">
        <v>3</v>
      </c>
      <c r="C240" s="12">
        <v>3</v>
      </c>
      <c r="D240" s="12">
        <v>4</v>
      </c>
      <c r="E240" s="11">
        <f>D240/C240</f>
        <v>1.3333333333333333</v>
      </c>
      <c r="F240" s="12">
        <v>2</v>
      </c>
      <c r="G240" s="12">
        <v>49</v>
      </c>
      <c r="H240" s="11">
        <f>G240/F240</f>
        <v>24.5</v>
      </c>
      <c r="I240" s="12"/>
      <c r="J240" s="12"/>
    </row>
    <row r="241" spans="1:10" x14ac:dyDescent="0.25">
      <c r="A241" s="3" t="s">
        <v>229</v>
      </c>
      <c r="B241" s="12">
        <v>2</v>
      </c>
      <c r="C241" s="12">
        <v>2</v>
      </c>
      <c r="D241" s="12">
        <v>8</v>
      </c>
      <c r="E241" s="11">
        <f>D241/C241</f>
        <v>4</v>
      </c>
      <c r="F241" s="12"/>
      <c r="G241" s="12"/>
      <c r="H241" s="11" t="e">
        <f>G241/F241</f>
        <v>#DIV/0!</v>
      </c>
      <c r="I241" s="12"/>
      <c r="J241" s="12">
        <v>1</v>
      </c>
    </row>
    <row r="242" spans="1:10" x14ac:dyDescent="0.25">
      <c r="A242" s="3" t="s">
        <v>182</v>
      </c>
      <c r="B242" s="12">
        <v>5</v>
      </c>
      <c r="C242" s="12">
        <v>7</v>
      </c>
      <c r="D242" s="12">
        <v>202</v>
      </c>
      <c r="E242" s="11">
        <f>D242/C242</f>
        <v>28.857142857142858</v>
      </c>
      <c r="F242" s="12">
        <v>18</v>
      </c>
      <c r="G242" s="12">
        <v>163</v>
      </c>
      <c r="H242" s="11">
        <f>G242/F242</f>
        <v>9.0555555555555554</v>
      </c>
      <c r="I242" s="12">
        <v>3</v>
      </c>
      <c r="J242" s="12"/>
    </row>
    <row r="243" spans="1:10" x14ac:dyDescent="0.25">
      <c r="A243" s="3" t="s">
        <v>37</v>
      </c>
      <c r="B243" s="12">
        <v>68</v>
      </c>
      <c r="C243" s="12">
        <v>62</v>
      </c>
      <c r="D243" s="12">
        <v>527</v>
      </c>
      <c r="E243" s="11">
        <f>D243/C243</f>
        <v>8.5</v>
      </c>
      <c r="F243" s="12">
        <v>156</v>
      </c>
      <c r="G243" s="12">
        <v>2361</v>
      </c>
      <c r="H243" s="11">
        <f>G243/F243</f>
        <v>15.134615384615385</v>
      </c>
      <c r="I243" s="12">
        <v>21</v>
      </c>
      <c r="J243" s="12"/>
    </row>
    <row r="244" spans="1:10" s="7" customFormat="1" x14ac:dyDescent="0.25">
      <c r="A244" s="3" t="s">
        <v>62</v>
      </c>
      <c r="B244" s="12">
        <v>43</v>
      </c>
      <c r="C244" s="12">
        <v>44</v>
      </c>
      <c r="D244" s="12">
        <v>1397</v>
      </c>
      <c r="E244" s="11">
        <f>D244/C244</f>
        <v>31.75</v>
      </c>
      <c r="F244" s="12">
        <v>34</v>
      </c>
      <c r="G244" s="12">
        <v>752</v>
      </c>
      <c r="H244" s="11">
        <f>G244/F244</f>
        <v>22.117647058823529</v>
      </c>
      <c r="I244" s="12">
        <v>15</v>
      </c>
      <c r="J244" s="12"/>
    </row>
    <row r="245" spans="1:10" x14ac:dyDescent="0.25">
      <c r="A245" s="3" t="s">
        <v>42</v>
      </c>
      <c r="B245" s="12">
        <v>64</v>
      </c>
      <c r="C245" s="12">
        <v>75</v>
      </c>
      <c r="D245" s="12">
        <v>1959</v>
      </c>
      <c r="E245" s="11">
        <f>D245/C245</f>
        <v>26.12</v>
      </c>
      <c r="F245" s="12">
        <v>44</v>
      </c>
      <c r="G245" s="12">
        <v>894</v>
      </c>
      <c r="H245" s="11">
        <f>G245/F245</f>
        <v>20.318181818181817</v>
      </c>
      <c r="I245" s="12">
        <v>42</v>
      </c>
      <c r="J245" s="12"/>
    </row>
    <row r="246" spans="1:10" s="7" customFormat="1" x14ac:dyDescent="0.25">
      <c r="A246" s="4" t="s">
        <v>275</v>
      </c>
      <c r="B246" s="10">
        <f>9+4</f>
        <v>13</v>
      </c>
      <c r="C246" s="10">
        <f>4+2</f>
        <v>6</v>
      </c>
      <c r="D246" s="10">
        <f>38+4</f>
        <v>42</v>
      </c>
      <c r="E246" s="11">
        <f>D246/C246</f>
        <v>7</v>
      </c>
      <c r="F246" s="10">
        <f>29+7</f>
        <v>36</v>
      </c>
      <c r="G246" s="10">
        <f>499+108</f>
        <v>607</v>
      </c>
      <c r="H246" s="11">
        <f>G246/F246</f>
        <v>16.861111111111111</v>
      </c>
      <c r="I246" s="10">
        <v>8</v>
      </c>
      <c r="J246" s="10"/>
    </row>
    <row r="247" spans="1:10" x14ac:dyDescent="0.25">
      <c r="A247" s="3" t="s">
        <v>191</v>
      </c>
      <c r="B247" s="12">
        <v>5</v>
      </c>
      <c r="C247" s="12">
        <v>6</v>
      </c>
      <c r="D247" s="12">
        <v>18</v>
      </c>
      <c r="E247" s="11">
        <f>D247/C247</f>
        <v>3</v>
      </c>
      <c r="F247" s="12"/>
      <c r="G247" s="12"/>
      <c r="H247" s="11" t="e">
        <f>G247/F247</f>
        <v>#DIV/0!</v>
      </c>
      <c r="I247" s="12">
        <v>2</v>
      </c>
      <c r="J247" s="12"/>
    </row>
    <row r="248" spans="1:10" x14ac:dyDescent="0.25">
      <c r="A248" s="4" t="s">
        <v>281</v>
      </c>
      <c r="B248" s="10">
        <f>2+7+17</f>
        <v>26</v>
      </c>
      <c r="C248" s="10">
        <f>2+6+15</f>
        <v>23</v>
      </c>
      <c r="D248" s="10">
        <f>30+74+155</f>
        <v>259</v>
      </c>
      <c r="E248" s="11">
        <f>D248/C248</f>
        <v>11.260869565217391</v>
      </c>
      <c r="F248" s="10">
        <f>7+36</f>
        <v>43</v>
      </c>
      <c r="G248" s="10">
        <f>12+17+148+403</f>
        <v>580</v>
      </c>
      <c r="H248" s="11">
        <f>G248/F248</f>
        <v>13.488372093023257</v>
      </c>
      <c r="I248" s="10">
        <f>1+3+13</f>
        <v>17</v>
      </c>
      <c r="J248" s="10"/>
    </row>
    <row r="249" spans="1:10" x14ac:dyDescent="0.25">
      <c r="A249" s="3" t="s">
        <v>225</v>
      </c>
      <c r="B249" s="12">
        <v>2</v>
      </c>
      <c r="C249" s="12">
        <v>1</v>
      </c>
      <c r="D249" s="12">
        <v>7</v>
      </c>
      <c r="E249" s="11">
        <f>D249/C249</f>
        <v>7</v>
      </c>
      <c r="F249" s="12"/>
      <c r="G249" s="12"/>
      <c r="H249" s="11" t="e">
        <f>G249/F249</f>
        <v>#DIV/0!</v>
      </c>
      <c r="I249" s="12"/>
      <c r="J249" s="12"/>
    </row>
    <row r="250" spans="1:10" x14ac:dyDescent="0.25">
      <c r="A250" s="3" t="s">
        <v>222</v>
      </c>
      <c r="B250" s="12">
        <v>2</v>
      </c>
      <c r="C250" s="12">
        <v>1</v>
      </c>
      <c r="D250" s="12">
        <v>18</v>
      </c>
      <c r="E250" s="11">
        <f>D250/C250</f>
        <v>18</v>
      </c>
      <c r="F250" s="12"/>
      <c r="G250" s="12"/>
      <c r="H250" s="11" t="e">
        <f>G250/F250</f>
        <v>#DIV/0!</v>
      </c>
      <c r="I250" s="12"/>
      <c r="J250" s="12"/>
    </row>
    <row r="251" spans="1:10" x14ac:dyDescent="0.25">
      <c r="A251" s="4" t="s">
        <v>118</v>
      </c>
      <c r="B251" s="10">
        <v>16</v>
      </c>
      <c r="C251" s="10">
        <v>18</v>
      </c>
      <c r="D251" s="10">
        <v>206</v>
      </c>
      <c r="E251" s="11">
        <f>D251/C251</f>
        <v>11.444444444444445</v>
      </c>
      <c r="F251" s="10"/>
      <c r="G251" s="10"/>
      <c r="H251" s="11" t="e">
        <f>G251/F251</f>
        <v>#DIV/0!</v>
      </c>
      <c r="I251" s="10">
        <v>4</v>
      </c>
      <c r="J251" s="10"/>
    </row>
    <row r="252" spans="1:10" x14ac:dyDescent="0.25">
      <c r="A252" s="3" t="s">
        <v>188</v>
      </c>
      <c r="B252" s="12">
        <v>5</v>
      </c>
      <c r="C252" s="12">
        <v>6</v>
      </c>
      <c r="D252" s="12">
        <v>40</v>
      </c>
      <c r="E252" s="11">
        <f>D252/C252</f>
        <v>6.666666666666667</v>
      </c>
      <c r="F252" s="12"/>
      <c r="G252" s="12"/>
      <c r="H252" s="11" t="e">
        <f>G252/F252</f>
        <v>#DIV/0!</v>
      </c>
      <c r="I252" s="12">
        <v>1</v>
      </c>
      <c r="J252" s="12"/>
    </row>
    <row r="253" spans="1:10" x14ac:dyDescent="0.25">
      <c r="A253" s="3" t="s">
        <v>103</v>
      </c>
      <c r="B253" s="12">
        <v>19</v>
      </c>
      <c r="C253" s="12">
        <v>24</v>
      </c>
      <c r="D253" s="12">
        <v>579</v>
      </c>
      <c r="E253" s="11">
        <f>D253/C253</f>
        <v>24.125</v>
      </c>
      <c r="F253" s="12">
        <v>27</v>
      </c>
      <c r="G253" s="12">
        <v>347</v>
      </c>
      <c r="H253" s="11">
        <f>G253/F253</f>
        <v>12.851851851851851</v>
      </c>
      <c r="I253" s="12">
        <v>7</v>
      </c>
      <c r="J253" s="12"/>
    </row>
    <row r="254" spans="1:10" x14ac:dyDescent="0.25">
      <c r="A254" s="3" t="s">
        <v>207</v>
      </c>
      <c r="B254" s="12">
        <v>3</v>
      </c>
      <c r="C254" s="12">
        <v>3</v>
      </c>
      <c r="D254" s="12">
        <v>25</v>
      </c>
      <c r="E254" s="11">
        <f>D254/C254</f>
        <v>8.3333333333333339</v>
      </c>
      <c r="F254" s="12">
        <v>2</v>
      </c>
      <c r="G254" s="12">
        <v>28</v>
      </c>
      <c r="H254" s="11">
        <f>G254/F254</f>
        <v>14</v>
      </c>
      <c r="I254" s="12"/>
      <c r="J254" s="12"/>
    </row>
    <row r="255" spans="1:10" s="8" customFormat="1" x14ac:dyDescent="0.25">
      <c r="A255" s="3" t="s">
        <v>200</v>
      </c>
      <c r="B255" s="12">
        <v>4</v>
      </c>
      <c r="C255" s="12">
        <v>4</v>
      </c>
      <c r="D255" s="12">
        <v>7</v>
      </c>
      <c r="E255" s="11">
        <f>D255/C255</f>
        <v>1.75</v>
      </c>
      <c r="F255" s="12"/>
      <c r="G255" s="12"/>
      <c r="H255" s="11" t="e">
        <f>G255/F255</f>
        <v>#DIV/0!</v>
      </c>
      <c r="I255" s="12">
        <v>1</v>
      </c>
      <c r="J255" s="12"/>
    </row>
    <row r="256" spans="1:10" s="7" customFormat="1" x14ac:dyDescent="0.25">
      <c r="A256" s="3" t="s">
        <v>95</v>
      </c>
      <c r="B256" s="12">
        <v>23</v>
      </c>
      <c r="C256" s="12">
        <v>20</v>
      </c>
      <c r="D256" s="12">
        <v>235</v>
      </c>
      <c r="E256" s="11">
        <f>D256/C256</f>
        <v>11.75</v>
      </c>
      <c r="F256" s="12">
        <v>42</v>
      </c>
      <c r="G256" s="12">
        <v>752</v>
      </c>
      <c r="H256" s="11">
        <f>G256/F256</f>
        <v>17.904761904761905</v>
      </c>
      <c r="I256" s="12">
        <v>6</v>
      </c>
      <c r="J256" s="12"/>
    </row>
    <row r="257" spans="1:10" x14ac:dyDescent="0.25">
      <c r="A257" s="4" t="s">
        <v>274</v>
      </c>
      <c r="B257" s="10">
        <f>13+14+10+13+16+1+7</f>
        <v>74</v>
      </c>
      <c r="C257" s="10">
        <f>9+7+5+7+5+0</f>
        <v>33</v>
      </c>
      <c r="D257" s="10">
        <f>43+51+34+20+36+1+7</f>
        <v>192</v>
      </c>
      <c r="E257" s="11">
        <f>D257/C257</f>
        <v>5.8181818181818183</v>
      </c>
      <c r="F257" s="10">
        <f>34+31+24+27+18+1+8</f>
        <v>143</v>
      </c>
      <c r="G257" s="10">
        <f>628+696+427+543+458+47+281</f>
        <v>3080</v>
      </c>
      <c r="H257" s="11">
        <f>G257/F257</f>
        <v>21.53846153846154</v>
      </c>
      <c r="I257" s="10">
        <f>14+5+1</f>
        <v>20</v>
      </c>
      <c r="J257" s="10"/>
    </row>
    <row r="258" spans="1:10" x14ac:dyDescent="0.25">
      <c r="A258" s="4" t="s">
        <v>97</v>
      </c>
      <c r="B258" s="10">
        <f>39+9+4+1</f>
        <v>53</v>
      </c>
      <c r="C258" s="10">
        <f>40+10+5+1</f>
        <v>56</v>
      </c>
      <c r="D258" s="10">
        <f>536+205+59+3</f>
        <v>803</v>
      </c>
      <c r="E258" s="11">
        <f>D258/C258</f>
        <v>14.339285714285714</v>
      </c>
      <c r="F258" s="10">
        <v>0</v>
      </c>
      <c r="G258" s="10">
        <v>8</v>
      </c>
      <c r="H258" s="11" t="e">
        <f>G258/F258</f>
        <v>#DIV/0!</v>
      </c>
      <c r="I258" s="10">
        <f>11+5+1</f>
        <v>17</v>
      </c>
      <c r="J258" s="10"/>
    </row>
    <row r="259" spans="1:10" x14ac:dyDescent="0.25">
      <c r="A259" s="3" t="s">
        <v>138</v>
      </c>
      <c r="B259" s="12">
        <v>12</v>
      </c>
      <c r="C259" s="12">
        <v>8</v>
      </c>
      <c r="D259" s="12">
        <v>149</v>
      </c>
      <c r="E259" s="11">
        <f>D259/C259</f>
        <v>18.625</v>
      </c>
      <c r="F259" s="12">
        <v>3</v>
      </c>
      <c r="G259" s="12">
        <v>82</v>
      </c>
      <c r="H259" s="11">
        <f>G259/F259</f>
        <v>27.333333333333332</v>
      </c>
      <c r="I259" s="12">
        <v>4</v>
      </c>
      <c r="J259" s="12"/>
    </row>
    <row r="260" spans="1:10" x14ac:dyDescent="0.25">
      <c r="A260" s="3" t="s">
        <v>144</v>
      </c>
      <c r="B260" s="12">
        <v>11</v>
      </c>
      <c r="C260" s="12">
        <v>5</v>
      </c>
      <c r="D260" s="12">
        <v>28</v>
      </c>
      <c r="E260" s="11">
        <f>D260/C260</f>
        <v>5.6</v>
      </c>
      <c r="F260" s="12">
        <v>21</v>
      </c>
      <c r="G260" s="12">
        <v>241</v>
      </c>
      <c r="H260" s="11">
        <f>G260/F260</f>
        <v>11.476190476190476</v>
      </c>
      <c r="I260" s="12">
        <v>4</v>
      </c>
      <c r="J260" s="12"/>
    </row>
    <row r="261" spans="1:10" s="8" customFormat="1" x14ac:dyDescent="0.25">
      <c r="A261" s="4" t="s">
        <v>201</v>
      </c>
      <c r="B261" s="10">
        <v>3</v>
      </c>
      <c r="C261" s="10">
        <v>0</v>
      </c>
      <c r="D261" s="10">
        <v>5</v>
      </c>
      <c r="E261" s="11" t="e">
        <f>D261/C261</f>
        <v>#DIV/0!</v>
      </c>
      <c r="F261" s="10">
        <v>1</v>
      </c>
      <c r="G261" s="10">
        <v>144</v>
      </c>
      <c r="H261" s="11">
        <f>G261/F261</f>
        <v>144</v>
      </c>
      <c r="I261" s="10">
        <v>0</v>
      </c>
      <c r="J261" s="10"/>
    </row>
    <row r="262" spans="1:10" x14ac:dyDescent="0.25">
      <c r="A262" s="4" t="s">
        <v>136</v>
      </c>
      <c r="B262" s="10">
        <v>13</v>
      </c>
      <c r="C262" s="10">
        <v>8</v>
      </c>
      <c r="D262" s="10">
        <v>65</v>
      </c>
      <c r="E262" s="11">
        <f>D262/C262</f>
        <v>8.125</v>
      </c>
      <c r="F262" s="10">
        <v>0</v>
      </c>
      <c r="G262" s="10">
        <v>0</v>
      </c>
      <c r="H262" s="11" t="e">
        <f>G262/F262</f>
        <v>#DIV/0!</v>
      </c>
      <c r="I262" s="10">
        <v>19</v>
      </c>
      <c r="J262" s="10"/>
    </row>
    <row r="263" spans="1:10" x14ac:dyDescent="0.25">
      <c r="A263" s="6" t="s">
        <v>293</v>
      </c>
      <c r="B263" s="13">
        <f>5+5+7+6+12+14+14+14+15</f>
        <v>92</v>
      </c>
      <c r="C263" s="13">
        <f>4+4+2+1+13+13+13+18+18</f>
        <v>86</v>
      </c>
      <c r="D263" s="13">
        <f>24+8+10+34+225+195+234+317+292</f>
        <v>1339</v>
      </c>
      <c r="E263" s="14">
        <f>D263/C263</f>
        <v>15.569767441860465</v>
      </c>
      <c r="F263" s="13">
        <f>4+5+4+6+22+19+35+23+18</f>
        <v>136</v>
      </c>
      <c r="G263" s="13">
        <f>150+110+193+104+331+308+694+464+561</f>
        <v>2915</v>
      </c>
      <c r="H263" s="14">
        <f>G263/F263</f>
        <v>21.433823529411764</v>
      </c>
      <c r="I263" s="13">
        <f>3+3+3+6+2+4+5+9</f>
        <v>35</v>
      </c>
      <c r="J263" s="13"/>
    </row>
    <row r="264" spans="1:10" x14ac:dyDescent="0.25">
      <c r="A264" s="3" t="s">
        <v>89</v>
      </c>
      <c r="B264" s="12">
        <v>24</v>
      </c>
      <c r="C264" s="12">
        <v>26</v>
      </c>
      <c r="D264" s="12">
        <v>989</v>
      </c>
      <c r="E264" s="11">
        <f>D264/C264</f>
        <v>38.03846153846154</v>
      </c>
      <c r="F264" s="12">
        <v>6</v>
      </c>
      <c r="G264" s="12">
        <v>36</v>
      </c>
      <c r="H264" s="11">
        <f>G264/F264</f>
        <v>6</v>
      </c>
      <c r="I264" s="12">
        <v>17</v>
      </c>
      <c r="J264" s="12"/>
    </row>
    <row r="265" spans="1:10" x14ac:dyDescent="0.25">
      <c r="A265" s="4" t="s">
        <v>158</v>
      </c>
      <c r="B265" s="10">
        <v>9</v>
      </c>
      <c r="C265" s="10">
        <v>10</v>
      </c>
      <c r="D265" s="10">
        <v>64</v>
      </c>
      <c r="E265" s="11">
        <f>D265/C265</f>
        <v>6.4</v>
      </c>
      <c r="F265" s="10"/>
      <c r="G265" s="10"/>
      <c r="H265" s="11" t="e">
        <f>G265/F265</f>
        <v>#DIV/0!</v>
      </c>
      <c r="I265" s="10">
        <v>17</v>
      </c>
      <c r="J265" s="10"/>
    </row>
    <row r="266" spans="1:10" s="7" customFormat="1" x14ac:dyDescent="0.25">
      <c r="A266" s="3" t="s">
        <v>36</v>
      </c>
      <c r="B266" s="12">
        <v>69</v>
      </c>
      <c r="C266" s="12">
        <v>46</v>
      </c>
      <c r="D266" s="12">
        <v>611</v>
      </c>
      <c r="E266" s="11">
        <f>D266/C266</f>
        <v>13.282608695652174</v>
      </c>
      <c r="F266" s="12">
        <v>136</v>
      </c>
      <c r="G266" s="12">
        <v>2377</v>
      </c>
      <c r="H266" s="11">
        <f>G266/F266</f>
        <v>17.477941176470587</v>
      </c>
      <c r="I266" s="12">
        <v>31</v>
      </c>
      <c r="J266" s="12"/>
    </row>
    <row r="267" spans="1:10" x14ac:dyDescent="0.25">
      <c r="A267" s="3" t="s">
        <v>223</v>
      </c>
      <c r="B267" s="12">
        <v>2</v>
      </c>
      <c r="C267" s="12">
        <v>2</v>
      </c>
      <c r="D267" s="12">
        <v>27</v>
      </c>
      <c r="E267" s="11">
        <f>D267/C267</f>
        <v>13.5</v>
      </c>
      <c r="F267" s="12"/>
      <c r="G267" s="12"/>
      <c r="H267" s="11" t="e">
        <f>G267/F267</f>
        <v>#DIV/0!</v>
      </c>
      <c r="I267" s="12"/>
      <c r="J267" s="12"/>
    </row>
    <row r="268" spans="1:10" x14ac:dyDescent="0.25">
      <c r="A268" s="4" t="s">
        <v>277</v>
      </c>
      <c r="B268" s="10">
        <f>2+1</f>
        <v>3</v>
      </c>
      <c r="C268" s="10">
        <f>1+1</f>
        <v>2</v>
      </c>
      <c r="D268" s="10">
        <v>2</v>
      </c>
      <c r="E268" s="11">
        <f>D268/C268</f>
        <v>1</v>
      </c>
      <c r="F268" s="10">
        <f>1+2</f>
        <v>3</v>
      </c>
      <c r="G268" s="10">
        <f>50+7+42</f>
        <v>99</v>
      </c>
      <c r="H268" s="11">
        <f>G268/F268</f>
        <v>33</v>
      </c>
      <c r="I268" s="10">
        <v>2</v>
      </c>
      <c r="J268" s="10"/>
    </row>
    <row r="269" spans="1:10" x14ac:dyDescent="0.25">
      <c r="A269" s="3" t="s">
        <v>16</v>
      </c>
      <c r="B269" s="12">
        <v>144</v>
      </c>
      <c r="C269" s="12">
        <v>175</v>
      </c>
      <c r="D269" s="12">
        <v>4015</v>
      </c>
      <c r="E269" s="11">
        <f>D269/C269</f>
        <v>22.942857142857143</v>
      </c>
      <c r="F269" s="12">
        <v>12</v>
      </c>
      <c r="G269" s="12">
        <v>129</v>
      </c>
      <c r="H269" s="11">
        <f>G269/F269</f>
        <v>10.75</v>
      </c>
      <c r="I269" s="12">
        <v>70</v>
      </c>
      <c r="J269" s="12"/>
    </row>
    <row r="270" spans="1:10" x14ac:dyDescent="0.25">
      <c r="A270" s="3" t="s">
        <v>122</v>
      </c>
      <c r="B270" s="12">
        <v>15</v>
      </c>
      <c r="C270" s="12">
        <v>16</v>
      </c>
      <c r="D270" s="12">
        <v>166</v>
      </c>
      <c r="E270" s="11">
        <f>D270/C270</f>
        <v>10.375</v>
      </c>
      <c r="F270" s="12">
        <v>1</v>
      </c>
      <c r="G270" s="12">
        <v>5</v>
      </c>
      <c r="H270" s="11">
        <f>G270/F270</f>
        <v>5</v>
      </c>
      <c r="I270" s="12">
        <v>8</v>
      </c>
      <c r="J270" s="12"/>
    </row>
    <row r="271" spans="1:10" x14ac:dyDescent="0.25">
      <c r="A271" s="3" t="s">
        <v>185</v>
      </c>
      <c r="B271" s="12">
        <v>5</v>
      </c>
      <c r="C271" s="12">
        <v>5</v>
      </c>
      <c r="D271" s="12">
        <v>58</v>
      </c>
      <c r="E271" s="11">
        <f>D271/C271</f>
        <v>11.6</v>
      </c>
      <c r="F271" s="12"/>
      <c r="G271" s="12"/>
      <c r="H271" s="11" t="e">
        <f>G271/F271</f>
        <v>#DIV/0!</v>
      </c>
      <c r="I271" s="12">
        <v>7</v>
      </c>
      <c r="J271" s="12"/>
    </row>
    <row r="272" spans="1:10" x14ac:dyDescent="0.25">
      <c r="A272" s="3" t="s">
        <v>34</v>
      </c>
      <c r="B272" s="12">
        <v>71</v>
      </c>
      <c r="C272" s="12">
        <v>74</v>
      </c>
      <c r="D272" s="12">
        <v>2619</v>
      </c>
      <c r="E272" s="11">
        <f>D272/C272</f>
        <v>35.391891891891895</v>
      </c>
      <c r="F272" s="12">
        <v>17</v>
      </c>
      <c r="G272" s="12">
        <v>497</v>
      </c>
      <c r="H272" s="11">
        <f>G272/F272</f>
        <v>29.235294117647058</v>
      </c>
      <c r="I272" s="12">
        <v>40</v>
      </c>
      <c r="J272" s="12"/>
    </row>
    <row r="273" spans="1:10" x14ac:dyDescent="0.25">
      <c r="A273" s="3" t="s">
        <v>261</v>
      </c>
      <c r="B273" s="12">
        <v>1</v>
      </c>
      <c r="C273" s="12">
        <v>0</v>
      </c>
      <c r="D273" s="12">
        <v>2</v>
      </c>
      <c r="E273" s="11" t="e">
        <f>D273/C273</f>
        <v>#DIV/0!</v>
      </c>
      <c r="F273" s="12"/>
      <c r="G273" s="12"/>
      <c r="H273" s="11" t="e">
        <f>G273/F273</f>
        <v>#DIV/0!</v>
      </c>
      <c r="I273" s="12"/>
      <c r="J273" s="12"/>
    </row>
    <row r="274" spans="1:10" s="24" customFormat="1" x14ac:dyDescent="0.25">
      <c r="A274" s="3" t="s">
        <v>11</v>
      </c>
      <c r="B274" s="12">
        <v>189</v>
      </c>
      <c r="C274" s="12">
        <v>185</v>
      </c>
      <c r="D274" s="12">
        <v>4316</v>
      </c>
      <c r="E274" s="11">
        <f>D274/C274</f>
        <v>23.329729729729731</v>
      </c>
      <c r="F274" s="12">
        <v>307</v>
      </c>
      <c r="G274" s="12">
        <v>4590</v>
      </c>
      <c r="H274" s="11">
        <f>G274/F274</f>
        <v>14.95114006514658</v>
      </c>
      <c r="I274" s="12">
        <v>78</v>
      </c>
      <c r="J274" s="12"/>
    </row>
    <row r="275" spans="1:10" x14ac:dyDescent="0.25">
      <c r="A275" s="4" t="s">
        <v>15</v>
      </c>
      <c r="B275" s="10">
        <v>148</v>
      </c>
      <c r="C275" s="10">
        <v>98</v>
      </c>
      <c r="D275" s="10">
        <v>1284</v>
      </c>
      <c r="E275" s="11">
        <f>D275/C275</f>
        <v>13.102040816326531</v>
      </c>
      <c r="F275" s="10">
        <v>296</v>
      </c>
      <c r="G275" s="10">
        <v>5583</v>
      </c>
      <c r="H275" s="11">
        <f>G275/F275</f>
        <v>18.861486486486488</v>
      </c>
      <c r="I275" s="10">
        <v>59</v>
      </c>
      <c r="J275" s="10"/>
    </row>
    <row r="276" spans="1:10" x14ac:dyDescent="0.25">
      <c r="A276" s="21" t="s">
        <v>307</v>
      </c>
      <c r="B276" s="22">
        <f>1+8+4</f>
        <v>13</v>
      </c>
      <c r="C276" s="22">
        <f>0+5+2</f>
        <v>7</v>
      </c>
      <c r="D276" s="22">
        <f>0+30+10</f>
        <v>40</v>
      </c>
      <c r="E276" s="23">
        <f>D276/C276</f>
        <v>5.7142857142857144</v>
      </c>
      <c r="F276" s="22">
        <f>0+8+5</f>
        <v>13</v>
      </c>
      <c r="G276" s="22">
        <f>9+170+118</f>
        <v>297</v>
      </c>
      <c r="H276" s="23">
        <f>G276/F276</f>
        <v>22.846153846153847</v>
      </c>
      <c r="I276" s="22">
        <f>2</f>
        <v>2</v>
      </c>
      <c r="J276" s="22"/>
    </row>
    <row r="277" spans="1:10" x14ac:dyDescent="0.25">
      <c r="A277" s="3" t="s">
        <v>233</v>
      </c>
      <c r="B277" s="12">
        <v>2</v>
      </c>
      <c r="C277" s="12">
        <v>1</v>
      </c>
      <c r="D277" s="12">
        <v>3</v>
      </c>
      <c r="E277" s="11">
        <f>D277/C277</f>
        <v>3</v>
      </c>
      <c r="F277" s="12"/>
      <c r="G277" s="12"/>
      <c r="H277" s="11" t="e">
        <f>G277/F277</f>
        <v>#DIV/0!</v>
      </c>
      <c r="I277" s="12"/>
      <c r="J277" s="12"/>
    </row>
    <row r="278" spans="1:10" x14ac:dyDescent="0.25">
      <c r="A278" s="3" t="s">
        <v>154</v>
      </c>
      <c r="B278" s="12">
        <v>9</v>
      </c>
      <c r="C278" s="12">
        <v>11</v>
      </c>
      <c r="D278" s="12">
        <v>141</v>
      </c>
      <c r="E278" s="11">
        <f>D278/C278</f>
        <v>12.818181818181818</v>
      </c>
      <c r="F278" s="12">
        <v>13</v>
      </c>
      <c r="G278" s="12">
        <v>187</v>
      </c>
      <c r="H278" s="11">
        <f>G278/F278</f>
        <v>14.384615384615385</v>
      </c>
      <c r="I278" s="12"/>
      <c r="J278" s="12"/>
    </row>
    <row r="279" spans="1:10" x14ac:dyDescent="0.25">
      <c r="A279" s="3" t="s">
        <v>53</v>
      </c>
      <c r="B279" s="12">
        <v>54</v>
      </c>
      <c r="C279" s="12">
        <v>47</v>
      </c>
      <c r="D279" s="12">
        <v>859</v>
      </c>
      <c r="E279" s="11">
        <f>D279/C279</f>
        <v>18.276595744680851</v>
      </c>
      <c r="F279" s="12">
        <v>2</v>
      </c>
      <c r="G279" s="12">
        <v>4</v>
      </c>
      <c r="H279" s="11">
        <f>G279/F279</f>
        <v>2</v>
      </c>
      <c r="I279" s="12">
        <v>95</v>
      </c>
      <c r="J279" s="12">
        <v>25</v>
      </c>
    </row>
    <row r="280" spans="1:10" x14ac:dyDescent="0.25">
      <c r="A280" s="3" t="s">
        <v>85</v>
      </c>
      <c r="B280" s="12">
        <v>25</v>
      </c>
      <c r="C280" s="12">
        <v>26</v>
      </c>
      <c r="D280" s="12">
        <v>437</v>
      </c>
      <c r="E280" s="11">
        <f>D280/C280</f>
        <v>16.807692307692307</v>
      </c>
      <c r="F280" s="12">
        <v>3</v>
      </c>
      <c r="G280" s="12">
        <v>78</v>
      </c>
      <c r="H280" s="11">
        <f>G280/F280</f>
        <v>26</v>
      </c>
      <c r="I280" s="12">
        <v>15</v>
      </c>
      <c r="J280" s="12"/>
    </row>
    <row r="281" spans="1:10" x14ac:dyDescent="0.25">
      <c r="A281" s="3" t="s">
        <v>47</v>
      </c>
      <c r="B281" s="12">
        <v>61</v>
      </c>
      <c r="C281" s="12">
        <v>30</v>
      </c>
      <c r="D281" s="12">
        <v>204</v>
      </c>
      <c r="E281" s="11">
        <f>D281/C281</f>
        <v>6.8</v>
      </c>
      <c r="F281" s="12">
        <v>170</v>
      </c>
      <c r="G281" s="12">
        <v>1995</v>
      </c>
      <c r="H281" s="11">
        <f>G281/F281</f>
        <v>11.735294117647058</v>
      </c>
      <c r="I281" s="12">
        <v>13</v>
      </c>
      <c r="J281" s="12"/>
    </row>
    <row r="282" spans="1:10" s="24" customFormat="1" x14ac:dyDescent="0.25">
      <c r="A282" s="3" t="s">
        <v>181</v>
      </c>
      <c r="B282" s="12">
        <v>5</v>
      </c>
      <c r="C282" s="12">
        <v>4</v>
      </c>
      <c r="D282" s="12">
        <v>181</v>
      </c>
      <c r="E282" s="11">
        <f>D282/C282</f>
        <v>45.25</v>
      </c>
      <c r="F282" s="12"/>
      <c r="G282" s="12"/>
      <c r="H282" s="11" t="e">
        <f>G282/F282</f>
        <v>#DIV/0!</v>
      </c>
      <c r="I282" s="12">
        <v>2</v>
      </c>
      <c r="J282" s="12"/>
    </row>
    <row r="283" spans="1:10" x14ac:dyDescent="0.25">
      <c r="A283" s="3" t="s">
        <v>205</v>
      </c>
      <c r="B283" s="12">
        <v>3</v>
      </c>
      <c r="C283" s="12">
        <v>3</v>
      </c>
      <c r="D283" s="12">
        <v>27</v>
      </c>
      <c r="E283" s="11">
        <f>D283/C283</f>
        <v>9</v>
      </c>
      <c r="F283" s="12">
        <v>3</v>
      </c>
      <c r="G283" s="12">
        <v>12</v>
      </c>
      <c r="H283" s="11">
        <f>G283/F283</f>
        <v>4</v>
      </c>
      <c r="I283" s="12">
        <v>1</v>
      </c>
      <c r="J283" s="12"/>
    </row>
    <row r="284" spans="1:10" x14ac:dyDescent="0.25">
      <c r="A284" s="21" t="s">
        <v>303</v>
      </c>
      <c r="B284" s="22">
        <f>4+13+14</f>
        <v>31</v>
      </c>
      <c r="C284" s="22">
        <f>3+11+17</f>
        <v>31</v>
      </c>
      <c r="D284" s="22">
        <f>24+81+144</f>
        <v>249</v>
      </c>
      <c r="E284" s="23">
        <f>D284/C284</f>
        <v>8.0322580645161299</v>
      </c>
      <c r="F284" s="22">
        <f>5+7+2</f>
        <v>14</v>
      </c>
      <c r="G284" s="22">
        <f>103+213+100</f>
        <v>416</v>
      </c>
      <c r="H284" s="23"/>
      <c r="I284" s="22">
        <f>2+7+7</f>
        <v>16</v>
      </c>
      <c r="J284" s="22"/>
    </row>
    <row r="285" spans="1:10" x14ac:dyDescent="0.25">
      <c r="A285" s="4" t="s">
        <v>216</v>
      </c>
      <c r="B285" s="10">
        <v>3</v>
      </c>
      <c r="C285" s="10">
        <v>2</v>
      </c>
      <c r="D285" s="10">
        <v>4</v>
      </c>
      <c r="E285" s="11">
        <f>D285/C285</f>
        <v>2</v>
      </c>
      <c r="F285" s="10">
        <v>0</v>
      </c>
      <c r="G285" s="10">
        <v>40</v>
      </c>
      <c r="H285" s="11" t="e">
        <f>G285/F285</f>
        <v>#DIV/0!</v>
      </c>
      <c r="I285" s="10">
        <v>0</v>
      </c>
      <c r="J285" s="10"/>
    </row>
    <row r="286" spans="1:10" s="7" customFormat="1" x14ac:dyDescent="0.25">
      <c r="A286" s="3" t="s">
        <v>202</v>
      </c>
      <c r="B286" s="12">
        <v>3</v>
      </c>
      <c r="C286" s="12">
        <v>4</v>
      </c>
      <c r="D286" s="12">
        <v>199</v>
      </c>
      <c r="E286" s="11">
        <f>D286/C286</f>
        <v>49.75</v>
      </c>
      <c r="F286" s="12">
        <v>5</v>
      </c>
      <c r="G286" s="12">
        <v>68</v>
      </c>
      <c r="H286" s="11">
        <f>G286/F286</f>
        <v>13.6</v>
      </c>
      <c r="I286" s="12">
        <v>5</v>
      </c>
      <c r="J286" s="12"/>
    </row>
    <row r="287" spans="1:10" x14ac:dyDescent="0.25">
      <c r="A287" s="4" t="s">
        <v>86</v>
      </c>
      <c r="B287" s="10">
        <v>25</v>
      </c>
      <c r="C287" s="10">
        <v>9</v>
      </c>
      <c r="D287" s="10">
        <v>107</v>
      </c>
      <c r="E287" s="11">
        <f>D287/C287</f>
        <v>11.888888888888889</v>
      </c>
      <c r="F287" s="10">
        <v>33</v>
      </c>
      <c r="G287" s="10">
        <v>1023</v>
      </c>
      <c r="H287" s="11">
        <f>G287/F287</f>
        <v>31</v>
      </c>
      <c r="I287" s="10">
        <v>9</v>
      </c>
      <c r="J287" s="10"/>
    </row>
    <row r="288" spans="1:10" x14ac:dyDescent="0.25">
      <c r="A288" s="4" t="s">
        <v>17</v>
      </c>
      <c r="B288" s="10">
        <f>169+12+4</f>
        <v>185</v>
      </c>
      <c r="C288" s="10">
        <f>179+14+4</f>
        <v>197</v>
      </c>
      <c r="D288" s="10">
        <f>4285+216+67</f>
        <v>4568</v>
      </c>
      <c r="E288" s="11">
        <f>D288/C288</f>
        <v>23.18781725888325</v>
      </c>
      <c r="F288" s="10">
        <f>25+2</f>
        <v>27</v>
      </c>
      <c r="G288" s="10">
        <f>785+24</f>
        <v>809</v>
      </c>
      <c r="H288" s="11">
        <f>G288/F288</f>
        <v>29.962962962962962</v>
      </c>
      <c r="I288" s="10">
        <f>141+11+2</f>
        <v>154</v>
      </c>
      <c r="J288" s="10"/>
    </row>
    <row r="289" spans="1:10" x14ac:dyDescent="0.25">
      <c r="A289" s="3" t="s">
        <v>215</v>
      </c>
      <c r="B289" s="12">
        <v>3</v>
      </c>
      <c r="C289" s="12">
        <v>5</v>
      </c>
      <c r="D289" s="12">
        <v>12</v>
      </c>
      <c r="E289" s="11">
        <f>D289/C289</f>
        <v>2.4</v>
      </c>
      <c r="F289" s="12">
        <v>6</v>
      </c>
      <c r="G289" s="12">
        <v>55</v>
      </c>
      <c r="H289" s="11">
        <f>G289/F289</f>
        <v>9.1666666666666661</v>
      </c>
      <c r="I289" s="12">
        <v>1</v>
      </c>
      <c r="J289" s="12"/>
    </row>
    <row r="290" spans="1:10" x14ac:dyDescent="0.25">
      <c r="A290" s="3" t="s">
        <v>294</v>
      </c>
      <c r="B290" s="12">
        <v>15</v>
      </c>
      <c r="C290" s="12">
        <v>15</v>
      </c>
      <c r="D290" s="12">
        <v>243</v>
      </c>
      <c r="E290" s="11">
        <f>D290/C290</f>
        <v>16.2</v>
      </c>
      <c r="F290" s="12"/>
      <c r="G290" s="12"/>
      <c r="H290" s="11" t="e">
        <f>G290/F290</f>
        <v>#DIV/0!</v>
      </c>
      <c r="I290" s="12">
        <v>6</v>
      </c>
      <c r="J290" s="12"/>
    </row>
    <row r="291" spans="1:10" x14ac:dyDescent="0.25">
      <c r="A291" s="3" t="s">
        <v>295</v>
      </c>
      <c r="B291" s="12">
        <v>3</v>
      </c>
      <c r="C291" s="12">
        <v>4</v>
      </c>
      <c r="D291" s="12">
        <v>23</v>
      </c>
      <c r="E291" s="11">
        <f>D291/C291</f>
        <v>5.75</v>
      </c>
      <c r="F291" s="12"/>
      <c r="G291" s="12"/>
      <c r="H291" s="11" t="e">
        <f>G291/F291</f>
        <v>#DIV/0!</v>
      </c>
      <c r="I291" s="12"/>
      <c r="J291" s="12"/>
    </row>
    <row r="292" spans="1:10" x14ac:dyDescent="0.25">
      <c r="A292" s="3" t="s">
        <v>134</v>
      </c>
      <c r="B292" s="12">
        <v>13</v>
      </c>
      <c r="C292" s="12">
        <v>16</v>
      </c>
      <c r="D292" s="12">
        <v>206</v>
      </c>
      <c r="E292" s="11">
        <f>D292/C292</f>
        <v>12.875</v>
      </c>
      <c r="F292" s="12">
        <v>40</v>
      </c>
      <c r="G292" s="12">
        <v>655</v>
      </c>
      <c r="H292" s="11">
        <f>G292/F292</f>
        <v>16.375</v>
      </c>
      <c r="I292" s="12"/>
      <c r="J292" s="12"/>
    </row>
    <row r="293" spans="1:10" x14ac:dyDescent="0.25">
      <c r="A293" s="3" t="s">
        <v>119</v>
      </c>
      <c r="B293" s="12">
        <v>16</v>
      </c>
      <c r="C293" s="12">
        <v>18</v>
      </c>
      <c r="D293" s="12">
        <v>169</v>
      </c>
      <c r="E293" s="11">
        <f>D293/C293</f>
        <v>9.3888888888888893</v>
      </c>
      <c r="F293" s="12">
        <v>1</v>
      </c>
      <c r="G293" s="12">
        <v>0</v>
      </c>
      <c r="H293" s="11">
        <f>G293/F293</f>
        <v>0</v>
      </c>
      <c r="I293" s="12">
        <v>6</v>
      </c>
      <c r="J293" s="12"/>
    </row>
    <row r="294" spans="1:10" s="7" customFormat="1" x14ac:dyDescent="0.25">
      <c r="A294" s="2" t="s">
        <v>247</v>
      </c>
      <c r="B294" s="19">
        <v>1</v>
      </c>
      <c r="C294" s="19">
        <v>1</v>
      </c>
      <c r="D294" s="19">
        <v>1</v>
      </c>
      <c r="E294" s="20">
        <f>D294/C294</f>
        <v>1</v>
      </c>
      <c r="F294" s="19">
        <v>1</v>
      </c>
      <c r="G294" s="19">
        <v>18</v>
      </c>
      <c r="H294" s="20">
        <f>G294/F294</f>
        <v>18</v>
      </c>
      <c r="I294" s="19"/>
      <c r="J294" s="19"/>
    </row>
    <row r="295" spans="1:10" x14ac:dyDescent="0.25">
      <c r="A295" s="2" t="s">
        <v>213</v>
      </c>
      <c r="B295" s="19">
        <v>3</v>
      </c>
      <c r="C295" s="19">
        <v>6</v>
      </c>
      <c r="D295" s="19">
        <v>19</v>
      </c>
      <c r="E295" s="20">
        <f>D295/C295</f>
        <v>3.1666666666666665</v>
      </c>
      <c r="F295" s="19"/>
      <c r="G295" s="19"/>
      <c r="H295" s="20" t="e">
        <f>G295/F295</f>
        <v>#DIV/0!</v>
      </c>
      <c r="I295" s="19">
        <v>2</v>
      </c>
      <c r="J295" s="19"/>
    </row>
    <row r="296" spans="1:10" x14ac:dyDescent="0.25">
      <c r="A296" s="25" t="s">
        <v>300</v>
      </c>
      <c r="B296" s="27">
        <f>8</f>
        <v>8</v>
      </c>
      <c r="C296" s="27">
        <f>8</f>
        <v>8</v>
      </c>
      <c r="D296" s="27">
        <f>64</f>
        <v>64</v>
      </c>
      <c r="E296" s="11">
        <f>D296/C296</f>
        <v>8</v>
      </c>
      <c r="F296" s="27">
        <f>2</f>
        <v>2</v>
      </c>
      <c r="G296" s="27">
        <f>50</f>
        <v>50</v>
      </c>
      <c r="H296" s="11">
        <f>G296/F296</f>
        <v>25</v>
      </c>
      <c r="I296" s="27">
        <f>4</f>
        <v>4</v>
      </c>
      <c r="J296" s="27"/>
    </row>
    <row r="297" spans="1:10" x14ac:dyDescent="0.25">
      <c r="A297" s="2" t="s">
        <v>219</v>
      </c>
      <c r="B297" s="12">
        <v>3</v>
      </c>
      <c r="C297" s="12">
        <v>0</v>
      </c>
      <c r="D297" s="12">
        <v>31</v>
      </c>
      <c r="E297" s="11" t="e">
        <f>D297/C297</f>
        <v>#DIV/0!</v>
      </c>
      <c r="F297" s="12"/>
      <c r="G297" s="12"/>
      <c r="H297" s="11" t="e">
        <f>G297/F297</f>
        <v>#DIV/0!</v>
      </c>
      <c r="I297" s="12"/>
      <c r="J297" s="12"/>
    </row>
    <row r="298" spans="1:10" x14ac:dyDescent="0.25">
      <c r="A298" s="3" t="s">
        <v>121</v>
      </c>
      <c r="B298" s="12">
        <v>15</v>
      </c>
      <c r="C298" s="12">
        <v>22</v>
      </c>
      <c r="D298" s="12">
        <v>351</v>
      </c>
      <c r="E298" s="11">
        <f>D298/C298</f>
        <v>15.954545454545455</v>
      </c>
      <c r="F298" s="12"/>
      <c r="G298" s="12"/>
      <c r="H298" s="11" t="e">
        <f>G298/F298</f>
        <v>#DIV/0!</v>
      </c>
      <c r="I298" s="12">
        <v>3</v>
      </c>
      <c r="J298" s="12"/>
    </row>
    <row r="299" spans="1:10" x14ac:dyDescent="0.25">
      <c r="A299" s="3" t="s">
        <v>170</v>
      </c>
      <c r="B299" s="12">
        <v>7</v>
      </c>
      <c r="C299" s="12">
        <v>6</v>
      </c>
      <c r="D299" s="12">
        <v>40</v>
      </c>
      <c r="E299" s="11">
        <f>D299/C299</f>
        <v>6.666666666666667</v>
      </c>
      <c r="F299" s="12">
        <v>8</v>
      </c>
      <c r="G299" s="12">
        <v>184</v>
      </c>
      <c r="H299" s="11">
        <f>G299/F299</f>
        <v>23</v>
      </c>
      <c r="I299" s="12">
        <v>4</v>
      </c>
      <c r="J299" s="12"/>
    </row>
    <row r="300" spans="1:10" x14ac:dyDescent="0.25">
      <c r="A300" s="3" t="s">
        <v>165</v>
      </c>
      <c r="B300" s="12">
        <v>7</v>
      </c>
      <c r="C300" s="12">
        <v>6</v>
      </c>
      <c r="D300" s="12">
        <v>87</v>
      </c>
      <c r="E300" s="11">
        <f>D300/C300</f>
        <v>14.5</v>
      </c>
      <c r="F300" s="12">
        <v>4</v>
      </c>
      <c r="G300" s="12">
        <v>75</v>
      </c>
      <c r="H300" s="11">
        <f>G300/F300</f>
        <v>18.75</v>
      </c>
      <c r="I300" s="12">
        <v>3</v>
      </c>
      <c r="J300" s="12"/>
    </row>
    <row r="301" spans="1:10" x14ac:dyDescent="0.25">
      <c r="A301" s="3" t="s">
        <v>117</v>
      </c>
      <c r="B301" s="12">
        <v>16</v>
      </c>
      <c r="C301" s="12">
        <v>18</v>
      </c>
      <c r="D301" s="12">
        <v>279</v>
      </c>
      <c r="E301" s="11">
        <f>D301/C301</f>
        <v>15.5</v>
      </c>
      <c r="F301" s="12">
        <v>3</v>
      </c>
      <c r="G301" s="12">
        <v>134</v>
      </c>
      <c r="H301" s="11">
        <f>G301/F301</f>
        <v>44.666666666666664</v>
      </c>
      <c r="I301" s="12">
        <v>12</v>
      </c>
      <c r="J301" s="12"/>
    </row>
    <row r="302" spans="1:10" x14ac:dyDescent="0.25">
      <c r="A302" s="3" t="s">
        <v>65</v>
      </c>
      <c r="B302" s="12">
        <v>37</v>
      </c>
      <c r="C302" s="12">
        <v>35</v>
      </c>
      <c r="D302" s="12">
        <v>760</v>
      </c>
      <c r="E302" s="11">
        <f>D302/C302</f>
        <v>21.714285714285715</v>
      </c>
      <c r="F302" s="12">
        <v>48</v>
      </c>
      <c r="G302" s="12">
        <v>1025</v>
      </c>
      <c r="H302" s="11">
        <f>G302/F302</f>
        <v>21.354166666666668</v>
      </c>
      <c r="I302" s="12">
        <v>22</v>
      </c>
      <c r="J302" s="12"/>
    </row>
    <row r="303" spans="1:10" x14ac:dyDescent="0.25">
      <c r="A303" s="3" t="s">
        <v>177</v>
      </c>
      <c r="B303" s="12">
        <v>6</v>
      </c>
      <c r="C303" s="12">
        <v>5</v>
      </c>
      <c r="D303" s="12">
        <v>57</v>
      </c>
      <c r="E303" s="11">
        <f>D303/C303</f>
        <v>11.4</v>
      </c>
      <c r="F303" s="12">
        <v>5</v>
      </c>
      <c r="G303" s="12">
        <v>85</v>
      </c>
      <c r="H303" s="11">
        <f>G303/F303</f>
        <v>17</v>
      </c>
      <c r="I303" s="12">
        <v>7</v>
      </c>
      <c r="J303" s="12"/>
    </row>
    <row r="304" spans="1:10" s="7" customFormat="1" x14ac:dyDescent="0.25">
      <c r="A304" s="4" t="s">
        <v>151</v>
      </c>
      <c r="B304" s="10">
        <v>10</v>
      </c>
      <c r="C304" s="10">
        <v>5</v>
      </c>
      <c r="D304" s="10">
        <v>21</v>
      </c>
      <c r="E304" s="11">
        <f>D304/C304</f>
        <v>4.2</v>
      </c>
      <c r="F304" s="10">
        <v>20</v>
      </c>
      <c r="G304" s="10">
        <v>307</v>
      </c>
      <c r="H304" s="11">
        <f>G304/F304</f>
        <v>15.35</v>
      </c>
      <c r="I304" s="10">
        <v>6</v>
      </c>
      <c r="J304" s="10"/>
    </row>
    <row r="305" spans="1:10" x14ac:dyDescent="0.25">
      <c r="A305" s="3" t="s">
        <v>159</v>
      </c>
      <c r="B305" s="12">
        <v>9</v>
      </c>
      <c r="C305" s="12">
        <v>6</v>
      </c>
      <c r="D305" s="12">
        <v>9</v>
      </c>
      <c r="E305" s="11">
        <f>D305/C305</f>
        <v>1.5</v>
      </c>
      <c r="F305" s="12">
        <v>19</v>
      </c>
      <c r="G305" s="12">
        <v>297</v>
      </c>
      <c r="H305" s="11">
        <f>G305/F305</f>
        <v>15.631578947368421</v>
      </c>
      <c r="I305" s="12">
        <v>3</v>
      </c>
      <c r="J305" s="12"/>
    </row>
    <row r="306" spans="1:10" x14ac:dyDescent="0.25">
      <c r="A306" s="4" t="s">
        <v>268</v>
      </c>
      <c r="B306" s="10">
        <v>84</v>
      </c>
      <c r="C306" s="10">
        <f>24+7+16+5+16+12+13</f>
        <v>93</v>
      </c>
      <c r="D306" s="10">
        <f>108+189+495+554+312+219</f>
        <v>1877</v>
      </c>
      <c r="E306" s="11">
        <f>D306/C306</f>
        <v>20.182795698924732</v>
      </c>
      <c r="F306" s="10">
        <f>29+13+15+3</f>
        <v>60</v>
      </c>
      <c r="G306" s="10">
        <f>662+279+30+26</f>
        <v>997</v>
      </c>
      <c r="H306" s="11">
        <f>G306/F306</f>
        <v>16.616666666666667</v>
      </c>
      <c r="I306" s="10">
        <f>18+5+7+3</f>
        <v>33</v>
      </c>
      <c r="J306" s="17"/>
    </row>
    <row r="307" spans="1:10" x14ac:dyDescent="0.25">
      <c r="A307" s="3" t="s">
        <v>90</v>
      </c>
      <c r="B307" s="12">
        <v>24</v>
      </c>
      <c r="C307" s="12">
        <v>30</v>
      </c>
      <c r="D307" s="12">
        <v>419</v>
      </c>
      <c r="E307" s="11">
        <f>D307/C307</f>
        <v>13.966666666666667</v>
      </c>
      <c r="F307" s="12"/>
      <c r="G307" s="12"/>
      <c r="H307" s="11" t="e">
        <f>G307/F307</f>
        <v>#DIV/0!</v>
      </c>
      <c r="I307" s="12">
        <v>3</v>
      </c>
      <c r="J307" s="16">
        <v>1</v>
      </c>
    </row>
    <row r="308" spans="1:10" ht="13.5" customHeight="1" x14ac:dyDescent="0.25">
      <c r="A308" s="3" t="s">
        <v>38</v>
      </c>
      <c r="B308" s="12">
        <v>66</v>
      </c>
      <c r="C308" s="12">
        <v>53</v>
      </c>
      <c r="D308" s="12">
        <v>603</v>
      </c>
      <c r="E308" s="11">
        <f>D308/C308</f>
        <v>11.377358490566039</v>
      </c>
      <c r="F308" s="12">
        <v>157</v>
      </c>
      <c r="G308" s="12">
        <v>1976</v>
      </c>
      <c r="H308" s="11">
        <f>G308/F308</f>
        <v>12.585987261146498</v>
      </c>
      <c r="I308" s="12">
        <v>48</v>
      </c>
      <c r="J308" s="16"/>
    </row>
    <row r="309" spans="1:10" s="7" customFormat="1" ht="13.5" customHeight="1" x14ac:dyDescent="0.25">
      <c r="A309" s="3" t="s">
        <v>166</v>
      </c>
      <c r="B309" s="12">
        <v>7</v>
      </c>
      <c r="C309" s="12">
        <v>7</v>
      </c>
      <c r="D309" s="12">
        <v>84</v>
      </c>
      <c r="E309" s="11">
        <f>D309/C309</f>
        <v>12</v>
      </c>
      <c r="F309" s="12"/>
      <c r="G309" s="12"/>
      <c r="H309" s="11" t="e">
        <f>G309/F309</f>
        <v>#DIV/0!</v>
      </c>
      <c r="I309" s="12">
        <v>2</v>
      </c>
      <c r="J309" s="16"/>
    </row>
    <row r="310" spans="1:10" s="7" customFormat="1" x14ac:dyDescent="0.25">
      <c r="A310" s="3" t="s">
        <v>35</v>
      </c>
      <c r="B310" s="12">
        <v>69</v>
      </c>
      <c r="C310" s="12">
        <v>75</v>
      </c>
      <c r="D310" s="12">
        <v>1173</v>
      </c>
      <c r="E310" s="11">
        <f>D310/C310</f>
        <v>15.64</v>
      </c>
      <c r="F310" s="12">
        <v>58</v>
      </c>
      <c r="G310" s="12">
        <v>947</v>
      </c>
      <c r="H310" s="11">
        <f>G310/F310</f>
        <v>16.327586206896552</v>
      </c>
      <c r="I310" s="12">
        <v>29</v>
      </c>
      <c r="J310" s="16"/>
    </row>
    <row r="311" spans="1:10" x14ac:dyDescent="0.25">
      <c r="A311" s="4" t="s">
        <v>265</v>
      </c>
      <c r="B311" s="10">
        <f>9+6</f>
        <v>15</v>
      </c>
      <c r="C311" s="10">
        <f>2+3</f>
        <v>5</v>
      </c>
      <c r="D311" s="10">
        <f>24+29</f>
        <v>53</v>
      </c>
      <c r="E311" s="11">
        <f>D311/C311</f>
        <v>10.6</v>
      </c>
      <c r="F311" s="10">
        <f>11+8</f>
        <v>19</v>
      </c>
      <c r="G311" s="10">
        <f>272+147</f>
        <v>419</v>
      </c>
      <c r="H311" s="11">
        <f>G311/F311</f>
        <v>22.05263157894737</v>
      </c>
      <c r="I311" s="10">
        <v>6</v>
      </c>
      <c r="J311" s="10"/>
    </row>
    <row r="312" spans="1:10" ht="13.5" customHeight="1" x14ac:dyDescent="0.25">
      <c r="A312" s="25" t="s">
        <v>189</v>
      </c>
      <c r="B312" s="26">
        <f>6+2+2</f>
        <v>10</v>
      </c>
      <c r="C312" s="26">
        <f>6+4+2</f>
        <v>12</v>
      </c>
      <c r="D312" s="26">
        <f>26+52+12</f>
        <v>90</v>
      </c>
      <c r="E312" s="20">
        <f>D312/C312</f>
        <v>7.5</v>
      </c>
      <c r="F312" s="26">
        <v>0</v>
      </c>
      <c r="G312" s="26">
        <v>0</v>
      </c>
      <c r="H312" s="20" t="e">
        <f>G312/F312</f>
        <v>#DIV/0!</v>
      </c>
      <c r="I312" s="26">
        <v>0</v>
      </c>
      <c r="J312" s="26"/>
    </row>
    <row r="313" spans="1:10" x14ac:dyDescent="0.25">
      <c r="A313" s="3" t="s">
        <v>256</v>
      </c>
      <c r="B313" s="12">
        <v>1</v>
      </c>
      <c r="C313" s="12"/>
      <c r="D313" s="12"/>
      <c r="E313" s="11" t="s">
        <v>273</v>
      </c>
      <c r="F313" s="12">
        <v>1</v>
      </c>
      <c r="G313" s="12">
        <v>35</v>
      </c>
      <c r="H313" s="11">
        <f>G313/F313</f>
        <v>35</v>
      </c>
      <c r="I313" s="12">
        <v>1</v>
      </c>
      <c r="J313" s="12"/>
    </row>
    <row r="314" spans="1:10" s="8" customFormat="1" hidden="1" x14ac:dyDescent="0.25">
      <c r="A314" s="3" t="s">
        <v>309</v>
      </c>
      <c r="B314" s="12"/>
      <c r="C314" s="12"/>
      <c r="D314" s="12"/>
      <c r="E314" s="12"/>
      <c r="F314" s="12"/>
      <c r="G314" s="12"/>
      <c r="H314" s="12"/>
      <c r="I314" s="12"/>
      <c r="J314" s="12"/>
    </row>
  </sheetData>
  <autoFilter ref="A1:J314" xr:uid="{00000000-0001-0000-0000-000000000000}">
    <filterColumn colId="0">
      <filters>
        <filter val="ABEYRATHNA.H"/>
        <filter val="ACHAR. A"/>
        <filter val="ACKERLEY. S"/>
        <filter val="AHMED.S"/>
        <filter val="ALEXANDER.B"/>
        <filter val="ALEXANDER.P"/>
        <filter val="ALLEN.H"/>
        <filter val="ANDERSON.P"/>
        <filter val="ARNOLD.B"/>
        <filter val="ARNOLD.C"/>
        <filter val="ARNOLD.J"/>
        <filter val="ATKINS.B"/>
        <filter val="ATKINS.G"/>
        <filter val="AYERS.C"/>
        <filter val="BADCOCK.L"/>
        <filter val="BALDOCK.D"/>
        <filter val="BANFIELD.T"/>
        <filter val="BARNARD.M"/>
        <filter val="BARNES.R"/>
        <filter val="BATT.R"/>
        <filter val="BAWER.D"/>
        <filter val="BELLCHAMBERS.T"/>
        <filter val="BENNETT.A"/>
        <filter val="BENNETT.E"/>
        <filter val="BENNETT.M"/>
        <filter val="BIRKET.P"/>
        <filter val="BLAIR.C"/>
        <filter val="BLIGH.D"/>
        <filter val="BOGANOFF.A"/>
        <filter val="BONNEY.P"/>
        <filter val="BOON.A"/>
        <filter val="BOON.C"/>
        <filter val="BOUCHER.J"/>
        <filter val="BOWER.D"/>
        <filter val="BOWLES.D"/>
        <filter val="BRAMICH.N"/>
        <filter val="BROOKE.V"/>
        <filter val="BROWN T."/>
        <filter val="BROWN.B"/>
        <filter val="BROWN.C"/>
        <filter val="BROWN.J"/>
        <filter val="BROWN.K"/>
        <filter val="BROWN.R"/>
        <filter val="BRUMBY.M"/>
        <filter val="BRYAN.J"/>
        <filter val="BUCKINGHAM.D"/>
        <filter val="BUCKNELL.B"/>
        <filter val="BURBURY.O"/>
        <filter val="BURKE.C"/>
        <filter val="CADLE.D"/>
        <filter val="CAREY.A"/>
        <filter val="CARNEY.B"/>
        <filter val="CARROLL.J"/>
        <filter val="CARTER.C"/>
        <filter val="CLARKE.W"/>
        <filter val="CLEMENTS.C"/>
        <filter val="CODRINGTON.G"/>
        <filter val="COE.D"/>
        <filter val="COLLINS.B"/>
        <filter val="COLLINS.C"/>
        <filter val="COOK.C"/>
        <filter val="COWLARD. R"/>
        <filter val="CRAWFORD.G"/>
        <filter val="CROSBY.R"/>
        <filter val="CROWDEN.L"/>
        <filter val="DAGLISH.L"/>
        <filter val="DARGAVEL.K"/>
        <filter val="DAVIES.H"/>
        <filter val="DAVIES.J"/>
        <filter val="DAVIES.R"/>
        <filter val="DAVISON.G"/>
        <filter val="DAWKINS.L"/>
        <filter val="De LANGE. A"/>
        <filter val="DELL. CALLAN"/>
        <filter val="DELL.CHRIS"/>
        <filter val="DELL.S"/>
        <filter val="DELL.T"/>
        <filter val="DELL.V"/>
        <filter val="DEVERELL.K"/>
        <filter val="DOCKER.J"/>
        <filter val="DORAN.R"/>
        <filter val="DOUCE.B"/>
        <filter val="DUDMAN.K"/>
        <filter val="DUNNE.J"/>
        <filter val="EADE.B"/>
        <filter val="ELLIOTT.R"/>
        <filter val="ELLIS.G"/>
        <filter val="ENRIGHT.C"/>
        <filter val="ENRIGHT.M"/>
        <filter val="ENRIGHT.N"/>
        <filter val="FAIRBROTHER.W"/>
        <filter val="FAWKNER.D"/>
        <filter val="FEBEY.N"/>
        <filter val="FIDLER.N"/>
        <filter val="FITZMAURICE.H"/>
        <filter val="FOGG.S"/>
        <filter val="FOSTER.G"/>
        <filter val="FREE.K"/>
        <filter val="FRENCH.S"/>
        <filter val="FULTON. P"/>
        <filter val="GAFFNEY.D"/>
        <filter val="GAGGIN.A"/>
        <filter val="GALE.I"/>
        <filter val="GLOVER.R"/>
        <filter val="GOFRON.G"/>
        <filter val="GOLDSWORTHY O"/>
        <filter val="GONINON.C"/>
        <filter val="GOODMAN.G"/>
        <filter val="GOSS.P"/>
        <filter val="GOWER.S"/>
        <filter val="GRAHAM.T"/>
        <filter val="GRETTON.J"/>
        <filter val="GREWAL.S"/>
        <filter val="GRIGGS.H"/>
        <filter val="HARDACRE.M"/>
        <filter val="HARMAN.M"/>
        <filter val="HARREX.R"/>
        <filter val="HAYS.J"/>
        <filter val="HAYWARD.M"/>
        <filter val="HERBERT.P"/>
        <filter val="HICKEY J."/>
        <filter val="HICKS.A"/>
        <filter val="HICKS.M"/>
        <filter val="HILL.M"/>
        <filter val="HOOPER.M"/>
        <filter val="HORLER.J"/>
        <filter val="HUGHES.P"/>
        <filter val="HUME.D"/>
        <filter val="HUME.G"/>
        <filter val="IBADULLA.K"/>
        <filter val="IRWIN.D"/>
        <filter val="IVORY.G"/>
        <filter val="JACKSON.G"/>
        <filter val="JACKSON.P"/>
        <filter val="JAFFRAY.C"/>
        <filter val="JAMES.K"/>
        <filter val="JARMAN.D"/>
        <filter val="JONES.P"/>
        <filter val="KANHAI.R"/>
        <filter val="KEENAN.T"/>
        <filter val="KELLY.B"/>
        <filter val="KELLY.D"/>
        <filter val="KELLY.M"/>
        <filter val="KELLY.P"/>
        <filter val="KENNA.R"/>
        <filter val="KOCH.L"/>
        <filter val="KRUSHKA.A"/>
        <filter val="LAKELAND.D"/>
        <filter val="LAMONT.B"/>
        <filter val="LAMONT.C"/>
        <filter val="LAWLER.B"/>
        <filter val="LAYTON.T"/>
        <filter val="LEE.J"/>
        <filter val="LEE.S"/>
        <filter val="LEHNER.C"/>
        <filter val="LEWIS.I"/>
        <filter val="LINDSAY.C"/>
        <filter val="LOONE.P"/>
        <filter val="LOONE.PE"/>
        <filter val="LOVATT.S"/>
        <filter val="LOWE.D"/>
        <filter val="LUMB.W"/>
        <filter val="LYNCH.R"/>
        <filter val="LYNCH.T"/>
        <filter val="LYONS.B"/>
        <filter val="LYONS.P"/>
        <filter val="MADELLY.J"/>
        <filter val="MALLINSON.A"/>
        <filter val="MANEY.CH"/>
        <filter val="MANEY.CR"/>
        <filter val="MANEY.M"/>
        <filter val="MANSFIELD.A"/>
        <filter val="MANSFIELD.G"/>
        <filter val="MARQUIS.P"/>
        <filter val="MARSHALL.L"/>
        <filter val="MARTIN.S"/>
        <filter val="MATTHEWS.B"/>
        <filter val="MATTHEWS.H"/>
        <filter val="MATTHEWS.K"/>
        <filter val="MATTHEWS.P"/>
        <filter val="MAZUREK.S"/>
        <filter val="McCHRISTIE.A"/>
        <filter val="McCONNON.F"/>
        <filter val="McCONNON.J"/>
        <filter val="McCONNON.R"/>
        <filter val="McCORMACK.M"/>
        <filter val="McCOY.C"/>
        <filter val="McGANN.N"/>
        <filter val="McGREGOR.K"/>
        <filter val="McGUANE.J"/>
        <filter val="McGUIRE.T"/>
        <filter val="McGURK.C"/>
        <filter val="McKENZIE.J"/>
        <filter val="MEDCRAFT.G"/>
        <filter val="MILBOURNE.B"/>
        <filter val="MILES.G"/>
        <filter val="MILES.R"/>
        <filter val="MILNE J."/>
        <filter val="MITCHELL.C"/>
        <filter val="MITCHELL.P"/>
        <filter val="MITCHELL.S"/>
        <filter val="MONCRIEFF.C"/>
        <filter val="MOORE.B"/>
        <filter val="MOORE.C"/>
        <filter val="MOORE.T"/>
        <filter val="MORRIS.B"/>
        <filter val="MULLETT.B"/>
        <filter val="MULLETT.D"/>
        <filter val="MUNTING.P"/>
        <filter val="MURFETT.I"/>
        <filter val="MURRAY.B"/>
        <filter val="NEUBACHER B."/>
        <filter val="NEWMAN.W"/>
        <filter val="NORMAN.M"/>
        <filter val="O'BOYLE.N"/>
        <filter val="O'HALLORAN.D"/>
        <filter val="O'MAHONY.S"/>
        <filter val="O'SHEA.M"/>
        <filter val="OWEN.R"/>
        <filter val="PACKETT.C"/>
        <filter val="PAGE.R"/>
        <filter val="PARAAM.A"/>
        <filter val="PASKE.S"/>
        <filter val="PEARCE.K"/>
        <filter val="PHAIR.P"/>
        <filter val="PHILPOTT.B"/>
        <filter val="PHILPOTT.S"/>
        <filter val="PIERCY.G"/>
        <filter val="PINKUS.N"/>
        <filter val="PITHOUSE.J"/>
        <filter val="PLUNKETT.S"/>
        <filter val="RASE.D"/>
        <filter val="RAWLINGS.J"/>
        <filter val="RICHARDSON.N"/>
        <filter val="RIMMER.G"/>
        <filter val="ROBINSON.B"/>
        <filter val="ROBINSON.D"/>
        <filter val="ROBINSON.O"/>
        <filter val="ROBINSON.P"/>
        <filter val="ROBINSON.S"/>
        <filter val="ROCKLIFF.P"/>
        <filter val="RODWELL.P"/>
        <filter val="ROWLANDS.P"/>
        <filter val="RUNDLE.T"/>
        <filter val="RUTHERFORD.K"/>
        <filter val="RYAN.L"/>
        <filter val="RYAN.T"/>
        <filter val="SABALLUS.A"/>
        <filter val="SAGGERS.J"/>
        <filter val="SALES.J"/>
        <filter val="SCULLY.W"/>
        <filter val="SELLARS.J"/>
        <filter val="SHAW.J"/>
        <filter val="SHEEAN.B"/>
        <filter val="SHEEAN.E"/>
        <filter val="SHEEN.B"/>
        <filter val="SHERRIFF.P"/>
        <filter val="SHERRIFF.R"/>
        <filter val="SMITH.G"/>
        <filter val="SMITH.J"/>
        <filter val="SMITH.T"/>
        <filter val="SNELL.T"/>
        <filter val="SOLOMON.L"/>
        <filter val="SQUIBB.D"/>
        <filter val="SQUIBB.N"/>
        <filter val="SQUIBB.W"/>
        <filter val="STEVEN.M"/>
        <filter val="STEVEN.T"/>
        <filter val="STEWART.D"/>
        <filter val="STEWART.M"/>
        <filter val="STEWART.W"/>
        <filter val="STONE.C"/>
        <filter val="STOTT.H"/>
        <filter val="STOW.P"/>
        <filter val="SWANSON.J"/>
        <filter val="TENAGLIA.B"/>
        <filter val="THOMPSON.J"/>
        <filter val="TUCKER.R"/>
        <filter val="TUEON.D"/>
        <filter val="UNDERWOOD.T"/>
        <filter val="VINCENT.L"/>
        <filter val="VON SCHILL.D"/>
        <filter val="VON STIEGLITZ.S"/>
        <filter val="WALSH.D"/>
        <filter val="WALSH.K"/>
        <filter val="WALSHE.A"/>
        <filter val="WATERHOUSE.J"/>
        <filter val="WATTS.J"/>
        <filter val="WEBB.T"/>
        <filter val="WEBSTER.H"/>
        <filter val="WEEKS.D"/>
        <filter val="WELSH.H"/>
        <filter val="WHISH-WILSON.B"/>
        <filter val="WICKHAM.A"/>
        <filter val="WICKHAM.D"/>
        <filter val="WIGGERS.J"/>
        <filter val="WILKINSON.N"/>
        <filter val="WILL B."/>
        <filter val="WILLIAMS.M"/>
        <filter val="WILLIAMS.T"/>
        <filter val="WINTER.G"/>
        <filter val="WINTER.S"/>
        <filter val="WOODBERRY.M"/>
        <filter val="WOOLLEY.A"/>
        <filter val="YOUNG.S"/>
      </filters>
    </filterColumn>
    <sortState xmlns:xlrd2="http://schemas.microsoft.com/office/spreadsheetml/2017/richdata2" ref="A2:J313">
      <sortCondition ref="A1:A314"/>
    </sortState>
  </autoFilter>
  <sortState xmlns:xlrd2="http://schemas.microsoft.com/office/spreadsheetml/2017/richdata2" ref="A2:J313">
    <sortCondition ref="A1:A313"/>
  </sortState>
  <pageMargins left="0.70866141732283472" right="0.70866141732283472" top="0.74803149606299213" bottom="0.74803149606299213" header="0.31496062992125984" footer="0.31496062992125984"/>
  <pageSetup paperSize="9" scale="2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Cole</dc:creator>
  <cp:lastModifiedBy>Bradley Cole</cp:lastModifiedBy>
  <cp:lastPrinted>2011-03-22T06:56:55Z</cp:lastPrinted>
  <dcterms:created xsi:type="dcterms:W3CDTF">2011-03-22T06:50:59Z</dcterms:created>
  <dcterms:modified xsi:type="dcterms:W3CDTF">2024-06-03T11:13:19Z</dcterms:modified>
</cp:coreProperties>
</file>